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3874A26-B20F-4456-AFF0-910EF9587D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" r:id="rId1"/>
  </sheets>
  <definedNames>
    <definedName name="AprSun1">DATEVALUE("4/1/"&amp;'2024'!$A$1)-WEEKDAY(DATEVALUE("4/1/"&amp;'2024'!$A$1))+1</definedName>
    <definedName name="AugSun1">DATEVALUE("8/1/"&amp;'2024'!$A$1)-WEEKDAY(DATEVALUE("8/1/"&amp;'2024'!$A$1))+1</definedName>
    <definedName name="DecSun1">DATEVALUE("12/1/"&amp;'2024'!$A$1)-WEEKDAY(DATEVALUE("12/1/"&amp;'2024'!$A$1))+1</definedName>
    <definedName name="FebSun1">DATEVALUE("2/1/"&amp;'2024'!$A$1)-WEEKDAY(DATEVALUE("2/1/"&amp;'2024'!$A$1))+1</definedName>
    <definedName name="JanSun1">DATEVALUE("1/1/"&amp;'2024'!$A$1)-WEEKDAY(DATEVALUE("1/1/"&amp;'2024'!$A$1))+1</definedName>
    <definedName name="JulSun1">DATEVALUE("7/1/"&amp;'2024'!$A$1)-WEEKDAY(DATEVALUE("7/1/"&amp;'2024'!$A$1))+1</definedName>
    <definedName name="JunSun1">DATEVALUE("6/1/"&amp;'2024'!$A$1)-WEEKDAY(DATEVALUE("6/1/"&amp;'2024'!$A$1))+1</definedName>
    <definedName name="MarSun1">DATEVALUE("3/1/"&amp;'2024'!$A$1)-WEEKDAY(DATEVALUE("3/1/"&amp;'2024'!$A$1))+1</definedName>
    <definedName name="MaySun1">DATEVALUE("5/1/"&amp;'2024'!$A$1)-WEEKDAY(DATEVALUE("5/1/"&amp;'2024'!$A$1))+1</definedName>
    <definedName name="NovSun1">DATEVALUE("11/1/"&amp;'2024'!$A$1)-WEEKDAY(DATEVALUE("11/1/"&amp;'2024'!$A$1))+1</definedName>
    <definedName name="OctSun1">DATEVALUE("10/1/"&amp;'2024'!$A$1)-WEEKDAY(DATEVALUE("10/1/"&amp;'2024'!$A$1))+1</definedName>
    <definedName name="_xlnm.Print_Area" localSheetId="0">'2024'!$A$1:$W$47</definedName>
    <definedName name="SepSun1">DATEVALUE("9/1/"&amp;'2024'!$A$1)-WEEKDAY(DATEVALUE("9/1/"&amp;'2024'!$A$1))+1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" i="1" l="1"/>
  <c r="V42" i="1"/>
  <c r="W42" i="1"/>
  <c r="A11" i="1" l="1"/>
  <c r="Q38" i="1" l="1"/>
  <c r="R38" i="1"/>
  <c r="S38" i="1"/>
  <c r="T38" i="1"/>
  <c r="U38" i="1"/>
  <c r="V38" i="1"/>
  <c r="W38" i="1"/>
  <c r="Q39" i="1"/>
  <c r="R39" i="1"/>
  <c r="S39" i="1"/>
  <c r="T39" i="1"/>
  <c r="U39" i="1"/>
  <c r="V39" i="1"/>
  <c r="W39" i="1"/>
  <c r="Q40" i="1"/>
  <c r="R40" i="1"/>
  <c r="S40" i="1"/>
  <c r="T40" i="1"/>
  <c r="U40" i="1"/>
  <c r="V40" i="1"/>
  <c r="W40" i="1"/>
  <c r="Q41" i="1"/>
  <c r="R41" i="1"/>
  <c r="S41" i="1"/>
  <c r="T41" i="1"/>
  <c r="U41" i="1"/>
  <c r="V41" i="1"/>
  <c r="W41" i="1"/>
  <c r="W37" i="1"/>
  <c r="V37" i="1"/>
  <c r="U37" i="1"/>
  <c r="T37" i="1"/>
  <c r="S37" i="1"/>
  <c r="R37" i="1"/>
  <c r="Q37" i="1"/>
  <c r="O41" i="1"/>
  <c r="N41" i="1"/>
  <c r="M41" i="1"/>
  <c r="L41" i="1"/>
  <c r="K41" i="1"/>
  <c r="J41" i="1"/>
  <c r="I41" i="1"/>
  <c r="O40" i="1"/>
  <c r="N40" i="1"/>
  <c r="M40" i="1"/>
  <c r="L40" i="1"/>
  <c r="K40" i="1"/>
  <c r="J40" i="1"/>
  <c r="I40" i="1"/>
  <c r="O39" i="1"/>
  <c r="N39" i="1"/>
  <c r="M39" i="1"/>
  <c r="L39" i="1"/>
  <c r="K39" i="1"/>
  <c r="J39" i="1"/>
  <c r="I39" i="1"/>
  <c r="O38" i="1"/>
  <c r="N38" i="1"/>
  <c r="M38" i="1"/>
  <c r="L38" i="1"/>
  <c r="K38" i="1"/>
  <c r="J38" i="1"/>
  <c r="I38" i="1"/>
  <c r="O37" i="1"/>
  <c r="N37" i="1"/>
  <c r="M37" i="1"/>
  <c r="L37" i="1"/>
  <c r="K37" i="1"/>
  <c r="J37" i="1"/>
  <c r="I37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W31" i="1"/>
  <c r="V31" i="1"/>
  <c r="W30" i="1"/>
  <c r="V30" i="1"/>
  <c r="U30" i="1"/>
  <c r="T30" i="1"/>
  <c r="S30" i="1"/>
  <c r="R30" i="1"/>
  <c r="Q30" i="1"/>
  <c r="W29" i="1"/>
  <c r="V29" i="1"/>
  <c r="U29" i="1"/>
  <c r="T29" i="1"/>
  <c r="S29" i="1"/>
  <c r="R29" i="1"/>
  <c r="Q29" i="1"/>
  <c r="W28" i="1"/>
  <c r="V28" i="1"/>
  <c r="U28" i="1"/>
  <c r="T28" i="1"/>
  <c r="S28" i="1"/>
  <c r="R28" i="1"/>
  <c r="Q28" i="1"/>
  <c r="W27" i="1"/>
  <c r="V27" i="1"/>
  <c r="U27" i="1"/>
  <c r="T27" i="1"/>
  <c r="S27" i="1"/>
  <c r="R27" i="1"/>
  <c r="Q27" i="1"/>
  <c r="W26" i="1"/>
  <c r="V26" i="1"/>
  <c r="U26" i="1"/>
  <c r="T26" i="1"/>
  <c r="S26" i="1"/>
  <c r="R26" i="1"/>
  <c r="Q26" i="1"/>
  <c r="J31" i="1"/>
  <c r="I31" i="1"/>
  <c r="O30" i="1"/>
  <c r="N30" i="1"/>
  <c r="M30" i="1"/>
  <c r="L30" i="1"/>
  <c r="K30" i="1"/>
  <c r="J30" i="1"/>
  <c r="I30" i="1"/>
  <c r="O29" i="1"/>
  <c r="N29" i="1"/>
  <c r="M29" i="1"/>
  <c r="L29" i="1"/>
  <c r="K29" i="1"/>
  <c r="J29" i="1"/>
  <c r="I29" i="1"/>
  <c r="O28" i="1"/>
  <c r="N28" i="1"/>
  <c r="M28" i="1"/>
  <c r="L28" i="1"/>
  <c r="K28" i="1"/>
  <c r="J28" i="1"/>
  <c r="I28" i="1"/>
  <c r="O27" i="1"/>
  <c r="N27" i="1"/>
  <c r="M27" i="1"/>
  <c r="L27" i="1"/>
  <c r="K27" i="1"/>
  <c r="J27" i="1"/>
  <c r="I27" i="1"/>
  <c r="O26" i="1"/>
  <c r="N26" i="1"/>
  <c r="M26" i="1"/>
  <c r="L26" i="1"/>
  <c r="K26" i="1"/>
  <c r="J26" i="1"/>
  <c r="I26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T20" i="1"/>
  <c r="S20" i="1"/>
  <c r="R20" i="1"/>
  <c r="Q20" i="1"/>
  <c r="W19" i="1"/>
  <c r="V19" i="1"/>
  <c r="U19" i="1"/>
  <c r="T19" i="1"/>
  <c r="S19" i="1"/>
  <c r="R19" i="1"/>
  <c r="Q19" i="1"/>
  <c r="W18" i="1"/>
  <c r="V18" i="1"/>
  <c r="U18" i="1"/>
  <c r="T18" i="1"/>
  <c r="S18" i="1"/>
  <c r="R18" i="1"/>
  <c r="Q18" i="1"/>
  <c r="W17" i="1"/>
  <c r="V17" i="1"/>
  <c r="U17" i="1"/>
  <c r="T17" i="1"/>
  <c r="S17" i="1"/>
  <c r="R17" i="1"/>
  <c r="Q17" i="1"/>
  <c r="W16" i="1"/>
  <c r="V16" i="1"/>
  <c r="U16" i="1"/>
  <c r="T16" i="1"/>
  <c r="S16" i="1"/>
  <c r="R16" i="1"/>
  <c r="Q16" i="1"/>
  <c r="O20" i="1"/>
  <c r="N20" i="1"/>
  <c r="M20" i="1"/>
  <c r="L20" i="1"/>
  <c r="K20" i="1"/>
  <c r="J20" i="1"/>
  <c r="I20" i="1"/>
  <c r="O19" i="1"/>
  <c r="N19" i="1"/>
  <c r="M19" i="1"/>
  <c r="L19" i="1"/>
  <c r="K19" i="1"/>
  <c r="J19" i="1"/>
  <c r="I19" i="1"/>
  <c r="O18" i="1"/>
  <c r="N18" i="1"/>
  <c r="M18" i="1"/>
  <c r="L18" i="1"/>
  <c r="K18" i="1"/>
  <c r="J18" i="1"/>
  <c r="I18" i="1"/>
  <c r="O17" i="1"/>
  <c r="N17" i="1"/>
  <c r="M17" i="1"/>
  <c r="L17" i="1"/>
  <c r="K17" i="1"/>
  <c r="J17" i="1"/>
  <c r="I17" i="1"/>
  <c r="O16" i="1"/>
  <c r="N16" i="1"/>
  <c r="M16" i="1"/>
  <c r="L16" i="1"/>
  <c r="K16" i="1"/>
  <c r="J16" i="1"/>
  <c r="I16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T11" i="1"/>
  <c r="S11" i="1"/>
  <c r="R11" i="1"/>
  <c r="Q11" i="1"/>
  <c r="W10" i="1"/>
  <c r="V10" i="1"/>
  <c r="U10" i="1"/>
  <c r="T10" i="1"/>
  <c r="S10" i="1"/>
  <c r="R10" i="1"/>
  <c r="Q10" i="1"/>
  <c r="W9" i="1"/>
  <c r="V9" i="1"/>
  <c r="U9" i="1"/>
  <c r="T9" i="1"/>
  <c r="S9" i="1"/>
  <c r="R9" i="1"/>
  <c r="Q9" i="1"/>
  <c r="W8" i="1"/>
  <c r="U8" i="1"/>
  <c r="T8" i="1"/>
  <c r="S8" i="1"/>
  <c r="R8" i="1"/>
  <c r="Q8" i="1"/>
  <c r="W7" i="1"/>
  <c r="V7" i="1"/>
  <c r="U7" i="1"/>
  <c r="T7" i="1"/>
  <c r="S7" i="1"/>
  <c r="R7" i="1"/>
  <c r="Q7" i="1"/>
  <c r="W6" i="1"/>
  <c r="V6" i="1"/>
  <c r="U6" i="1"/>
  <c r="T6" i="1"/>
  <c r="S6" i="1"/>
  <c r="R6" i="1"/>
  <c r="Q6" i="1"/>
  <c r="O10" i="1"/>
  <c r="N10" i="1"/>
  <c r="M10" i="1"/>
  <c r="L10" i="1"/>
  <c r="K10" i="1"/>
  <c r="J10" i="1"/>
  <c r="I10" i="1"/>
  <c r="O9" i="1"/>
  <c r="N9" i="1"/>
  <c r="M9" i="1"/>
  <c r="L9" i="1"/>
  <c r="K9" i="1"/>
  <c r="J9" i="1"/>
  <c r="I9" i="1"/>
  <c r="O8" i="1"/>
  <c r="N8" i="1"/>
  <c r="M8" i="1"/>
  <c r="L8" i="1"/>
  <c r="K8" i="1"/>
  <c r="J8" i="1"/>
  <c r="I8" i="1"/>
  <c r="O7" i="1"/>
  <c r="N7" i="1"/>
  <c r="M7" i="1"/>
  <c r="L7" i="1"/>
  <c r="K7" i="1"/>
  <c r="J7" i="1"/>
  <c r="I7" i="1"/>
  <c r="O6" i="1"/>
  <c r="N6" i="1"/>
  <c r="M6" i="1"/>
  <c r="L6" i="1"/>
  <c r="K6" i="1"/>
  <c r="J6" i="1"/>
  <c r="I6" i="1"/>
  <c r="G11" i="1"/>
  <c r="F11" i="1"/>
  <c r="E11" i="1"/>
  <c r="D11" i="1"/>
  <c r="C11" i="1"/>
  <c r="B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<sst xmlns="http://schemas.openxmlformats.org/spreadsheetml/2006/main" count="99" uniqueCount="20">
  <si>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</si>
  <si>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</si>
  <si>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</si>
  <si>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</si>
  <si>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</si>
  <si>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</si>
  <si>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</si>
  <si>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</si>
  <si>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</si>
  <si>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</si>
  <si>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</si>
  <si>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</si>
  <si>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</si>
  <si>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</si>
  <si>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</si>
  <si>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</si>
  <si>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</si>
  <si>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Dates in red are Region 10 holidays.</t>
  </si>
  <si>
    <r>
      <t xml:space="preserve">Meeting Time:  </t>
    </r>
    <r>
      <rPr>
        <sz val="11"/>
        <rFont val="Calibri"/>
        <family val="2"/>
        <scheme val="minor"/>
      </rPr>
      <t xml:space="preserve">3:30 p.m. </t>
    </r>
    <r>
      <rPr>
        <sz val="9"/>
        <rFont val="Calibri"/>
        <family val="2"/>
        <scheme val="minor"/>
      </rPr>
      <t xml:space="preserve"> </t>
    </r>
    <r>
      <rPr>
        <sz val="8"/>
        <rFont val="Wingdings"/>
        <charset val="2"/>
      </rPr>
      <t>l</t>
    </r>
    <r>
      <rPr>
        <sz val="9"/>
        <rFont val="Wingdings"/>
        <charset val="2"/>
      </rPr>
      <t xml:space="preserve"> </t>
    </r>
    <r>
      <rPr>
        <b/>
        <i/>
        <sz val="11"/>
        <rFont val="Calibri"/>
        <family val="2"/>
        <scheme val="minor"/>
      </rPr>
      <t>Location: TEAMS/ Region 10 2186 Water St Port Huron, MI</t>
    </r>
  </si>
  <si>
    <t xml:space="preserve">Region 10 SUD OVERSIGHT POLICY BOARD Calendar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</si>
</sst>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Wingdings"/>
      <charset val="2"/>
    </font>
    <font>
      <sz val="8"/>
      <name val="Wingdings"/>
      <charset val="2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8"/>
      <name val="Calibri"/>
      <family val="2"/>
      <scheme val="minor"/>
    </font>
    <font>
      <b/>
      <sz val="9"/>
      <color rgb="FFFF0000"/>
      <name val="Comic Sans MS"/>
      <family val="4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/>
    <xf numFmtId="0" fontId="12" fillId="0" borderId="0" xfId="0" applyFont="1"/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0" xfId="0" applyFont="1"/>
    <xf numFmtId="165" fontId="12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center" vertical="top"/>
    </xf>
    <xf numFmtId="165" fontId="18" fillId="0" borderId="0" xfId="0" applyNumberFormat="1" applyFont="1" applyAlignment="1">
      <alignment horizontal="center" vertical="top"/>
    </xf>
    <xf numFmtId="165" fontId="20" fillId="0" borderId="0" xfId="0" applyNumberFormat="1" applyFont="1"/>
    <xf numFmtId="0" fontId="21" fillId="0" borderId="0" xfId="0" applyFont="1"/>
    <xf numFmtId="165" fontId="19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22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65" fontId="17" fillId="3" borderId="0" xfId="0" applyNumberFormat="1" applyFont="1" applyFill="1" applyAlignment="1">
      <alignment horizontal="center" vertical="top"/>
    </xf>
    <xf numFmtId="165" fontId="3" fillId="3" borderId="0" xfId="0" applyNumberFormat="1" applyFont="1" applyFill="1" applyAlignment="1">
      <alignment horizontal="center" vertical="top"/>
    </xf>
    <xf numFmtId="165" fontId="17" fillId="4" borderId="0" xfId="0" applyNumberFormat="1" applyFont="1" applyFill="1" applyAlignment="1">
      <alignment horizontal="center" vertical="top"/>
    </xf>
    <xf numFmtId="165" fontId="3" fillId="4" borderId="0" xfId="0" applyNumberFormat="1" applyFont="1" applyFill="1" applyAlignment="1">
      <alignment horizontal="center" vertical="top"/>
    </xf>
    <xf numFmtId="165" fontId="12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5" fontId="12" fillId="0" borderId="0" xfId="0" applyNumberFormat="1" applyFont="1" applyAlignment="1">
      <alignment vertical="center" wrapText="1"/>
    </xf>
    <xf numFmtId="165" fontId="19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A$1" max="9999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88900</xdr:rowOff>
        </xdr:from>
        <xdr:to>
          <xdr:col>0</xdr:col>
          <xdr:colOff>222250</xdr:colOff>
          <xdr:row>1</xdr:row>
          <xdr:rowOff>127000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20</xdr:col>
      <xdr:colOff>98900</xdr:colOff>
      <xdr:row>0</xdr:row>
      <xdr:rowOff>43295</xdr:rowOff>
    </xdr:from>
    <xdr:to>
      <xdr:col>23</xdr:col>
      <xdr:colOff>43296</xdr:colOff>
      <xdr:row>2</xdr:row>
      <xdr:rowOff>103908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286" y="43295"/>
          <a:ext cx="827624" cy="493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showGridLines="0" tabSelected="1" zoomScale="110" zoomScaleNormal="110" zoomScalePageLayoutView="90" workbookViewId="0">
      <selection activeCell="AA31" sqref="AA31"/>
    </sheetView>
  </sheetViews>
  <sheetFormatPr defaultColWidth="9.1796875" defaultRowHeight="13" x14ac:dyDescent="0.3"/>
  <cols>
    <col min="1" max="7" width="4.453125" style="1" customWidth="1"/>
    <col min="8" max="8" width="2.7265625" style="1" customWidth="1"/>
    <col min="9" max="15" width="4.453125" style="1" customWidth="1"/>
    <col min="16" max="16" width="2.54296875" style="1" customWidth="1"/>
    <col min="17" max="23" width="4.453125" style="1" customWidth="1"/>
    <col min="24" max="24" width="4.7265625" style="1" customWidth="1"/>
    <col min="25" max="25" width="9.1796875" style="1" customWidth="1"/>
    <col min="26" max="16384" width="9.1796875" style="1"/>
  </cols>
  <sheetData>
    <row r="1" spans="1:23" ht="24" customHeight="1" x14ac:dyDescent="0.3">
      <c r="A1" s="48">
        <v>2025</v>
      </c>
      <c r="B1" s="48"/>
      <c r="C1" s="48"/>
      <c r="D1" s="48"/>
      <c r="E1" s="49" t="s">
        <v>19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"/>
      <c r="V1" s="16"/>
      <c r="W1" s="2"/>
    </row>
    <row r="2" spans="1:23" ht="10.5" customHeight="1" x14ac:dyDescent="0.3">
      <c r="A2" s="35"/>
      <c r="B2" s="35"/>
      <c r="C2" s="35"/>
      <c r="D2" s="35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2"/>
      <c r="V2" s="2"/>
      <c r="W2" s="2"/>
    </row>
    <row r="3" spans="1:23" s="3" customFormat="1" ht="33" customHeight="1" x14ac:dyDescent="0.35">
      <c r="A3" s="50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16" customHeight="1" x14ac:dyDescent="0.35">
      <c r="A4" s="42" t="s">
        <v>5</v>
      </c>
      <c r="B4" s="42"/>
      <c r="C4" s="42"/>
      <c r="D4" s="42"/>
      <c r="E4" s="42"/>
      <c r="F4" s="42"/>
      <c r="G4" s="42"/>
      <c r="H4" s="6"/>
      <c r="I4" s="42" t="s">
        <v>6</v>
      </c>
      <c r="J4" s="42"/>
      <c r="K4" s="42"/>
      <c r="L4" s="42"/>
      <c r="M4" s="42"/>
      <c r="N4" s="42"/>
      <c r="O4" s="42"/>
      <c r="P4" s="6"/>
      <c r="Q4" s="42" t="s">
        <v>7</v>
      </c>
      <c r="R4" s="42"/>
      <c r="S4" s="42"/>
      <c r="T4" s="42"/>
      <c r="U4" s="42"/>
      <c r="V4" s="42"/>
      <c r="W4" s="42"/>
    </row>
    <row r="5" spans="1:23" ht="16" customHeight="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2</v>
      </c>
      <c r="F5" s="4" t="s">
        <v>4</v>
      </c>
      <c r="G5" s="4" t="s">
        <v>0</v>
      </c>
      <c r="H5" s="5"/>
      <c r="I5" s="4" t="s">
        <v>0</v>
      </c>
      <c r="J5" s="4" t="s">
        <v>1</v>
      </c>
      <c r="K5" s="4" t="s">
        <v>2</v>
      </c>
      <c r="L5" s="4" t="s">
        <v>3</v>
      </c>
      <c r="M5" s="4" t="s">
        <v>2</v>
      </c>
      <c r="N5" s="4" t="s">
        <v>4</v>
      </c>
      <c r="O5" s="4" t="s">
        <v>0</v>
      </c>
      <c r="P5" s="5"/>
      <c r="Q5" s="4" t="s">
        <v>0</v>
      </c>
      <c r="R5" s="4" t="s">
        <v>1</v>
      </c>
      <c r="S5" s="4" t="s">
        <v>2</v>
      </c>
      <c r="T5" s="4" t="s">
        <v>3</v>
      </c>
      <c r="U5" s="4" t="s">
        <v>2</v>
      </c>
      <c r="V5" s="4" t="s">
        <v>4</v>
      </c>
      <c r="W5" s="4" t="s">
        <v>0</v>
      </c>
    </row>
    <row r="6" spans="1:23" ht="16" customHeight="1" x14ac:dyDescent="0.3">
      <c r="A6" s="17" t="str">
        <f>IF(AND(YEAR(JanSun1)=$A$1,MONTH(JanSun1)=1),JanSun1, "")</f>
        <v/>
      </c>
      <c r="B6" s="23" t="str">
        <f>IF(AND(YEAR(JanSun1+1)=$A$1,MONTH(JanSun1+1)=1),JanSun1+1, "")</f>
        <v/>
      </c>
      <c r="C6" s="38" t="str">
        <f>IF(AND(YEAR(JanSun1+2)=$A$1,MONTH(JanSun1+2)=1),JanSun1+2, "")</f>
        <v/>
      </c>
      <c r="D6" s="22">
        <f>IF(AND(YEAR(JanSun1+3)=$A$1,MONTH(JanSun1+3)=1),JanSun1+3, "")</f>
        <v>45658</v>
      </c>
      <c r="E6" s="22">
        <f>IF(AND(YEAR(JanSun1+4)=$A$1,MONTH(JanSun1+4)=1),JanSun1+4, "")</f>
        <v>45659</v>
      </c>
      <c r="F6" s="22">
        <f>IF(AND(YEAR(JanSun1+5)=$A$1,MONTH(JanSun1+5)=1),JanSun1+5, "")</f>
        <v>45660</v>
      </c>
      <c r="G6" s="17">
        <f>IF(AND(YEAR(JanSun1+6)=$A$1,MONTH(JanSun1+6)=1),JanSun1+6, "")</f>
        <v>45661</v>
      </c>
      <c r="H6" s="18"/>
      <c r="I6" s="17" t="str">
        <f>IF(AND(YEAR(FebSun1)=$A$1,MONTH(FebSun1)=2),FebSun1, "")</f>
        <v/>
      </c>
      <c r="J6" s="17" t="str">
        <f>IF(AND(YEAR(FebSun1+1)=$A$1,MONTH(FebSun1+1)=2),FebSun1+1, "")</f>
        <v/>
      </c>
      <c r="K6" s="17" t="str">
        <f>IF(AND(YEAR(FebSun1+2)=$A$1,MONTH(FebSun1+2)=2),FebSun1+2, "")</f>
        <v/>
      </c>
      <c r="L6" s="17" t="str">
        <f>IF(AND(YEAR(FebSun1+3)=$A$1,MONTH(FebSun1+3)=2),FebSun1+3, "")</f>
        <v/>
      </c>
      <c r="M6" s="17" t="str">
        <f>IF(AND(YEAR(FebSun1+4)=$A$1,MONTH(FebSun1+4)=2),FebSun1+4, "")</f>
        <v/>
      </c>
      <c r="N6" s="17" t="str">
        <f>IF(AND(YEAR(FebSun1+5)=$A$1,MONTH(FebSun1+5)=2),FebSun1+5, "")</f>
        <v/>
      </c>
      <c r="O6" s="17">
        <f>IF(AND(YEAR(FebSun1+6)=$A$1,MONTH(FebSun1+6)=2),FebSun1+6, "")</f>
        <v>45689</v>
      </c>
      <c r="P6" s="18"/>
      <c r="Q6" s="17" t="str">
        <f>IF(AND(YEAR(MarSun1)=$A$1,MONTH(MarSun1)=3),MarSun1, "")</f>
        <v/>
      </c>
      <c r="R6" s="17" t="str">
        <f>IF(AND(YEAR(MarSun1+1)=$A$1,MONTH(MarSun1+1)=3),MarSun1+1, "")</f>
        <v/>
      </c>
      <c r="S6" s="17" t="str">
        <f>IF(AND(YEAR(MarSun1+2)=$A$1,MONTH(MarSun1+2)=3),MarSun1+2, "")</f>
        <v/>
      </c>
      <c r="T6" s="17" t="str">
        <f>IF(AND(YEAR(MarSun1+3)=$A$1,MONTH(MarSun1+3)=3),MarSun1+3, "")</f>
        <v/>
      </c>
      <c r="U6" s="17" t="str">
        <f>IF(AND(YEAR(MarSun1+4)=$A$1,MONTH(MarSun1+4)=3),MarSun1+4, "")</f>
        <v/>
      </c>
      <c r="V6" s="17" t="str">
        <f>IF(AND(YEAR(MarSun1+5)=$A$1,MONTH(MarSun1+5)=3),MarSun1+5, "")</f>
        <v/>
      </c>
      <c r="W6" s="17">
        <f>IF(AND(YEAR(MarSun1+6)=$A$1,MONTH(MarSun1+6)=3),MarSun1+6, "")</f>
        <v>45717</v>
      </c>
    </row>
    <row r="7" spans="1:23" ht="16" customHeight="1" x14ac:dyDescent="0.3">
      <c r="A7" s="17">
        <f>IF(AND(YEAR(JanSun1+7)=$A$1,MONTH(JanSun1+7)=1),JanSun1+7, "")</f>
        <v>45662</v>
      </c>
      <c r="B7" s="17">
        <f>IF(AND(YEAR(JanSun1+8)=$A$1,MONTH(JanSun1+8)=1),JanSun1+8, "")</f>
        <v>45663</v>
      </c>
      <c r="C7" s="37">
        <f>IF(AND(YEAR(JanSun1+9)=$A$1,MONTH(JanSun1+9)=1),JanSun1+9, "")</f>
        <v>45664</v>
      </c>
      <c r="D7" s="17">
        <f>IF(AND(YEAR(JanSun1+10)=$A$1,MONTH(JanSun1+10)=1),JanSun1+10, "")</f>
        <v>45665</v>
      </c>
      <c r="E7" s="17">
        <f>IF(AND(YEAR(JanSun1+11)=$A$1,MONTH(JanSun1+11)=1),JanSun1+11, "")</f>
        <v>45666</v>
      </c>
      <c r="F7" s="17">
        <f>IF(AND(YEAR(JanSun1+12)=$A$1,MONTH(JanSun1+12)=1),JanSun1+12, "")</f>
        <v>45667</v>
      </c>
      <c r="G7" s="17">
        <f>IF(AND(YEAR(JanSun1+13)=$A$1,MONTH(JanSun1+13)=1),JanSun1+13, "")</f>
        <v>45668</v>
      </c>
      <c r="H7" s="18"/>
      <c r="I7" s="17">
        <f>IF(AND(YEAR(FebSun1+7)=$A$1,MONTH(FebSun1+7)=2),FebSun1+7, "")</f>
        <v>45690</v>
      </c>
      <c r="J7" s="22">
        <f>IF(AND(YEAR(FebSun1+8)=$A$1,MONTH(FebSun1+8)=2),FebSun1+8, "")</f>
        <v>45691</v>
      </c>
      <c r="K7" s="36">
        <f>IF(AND(YEAR(FebSun1+9)=$A$1,MONTH(FebSun1+9)=2),FebSun1+9, "")</f>
        <v>45692</v>
      </c>
      <c r="L7" s="22">
        <f>IF(AND(YEAR(FebSun1+10)=$A$1,MONTH(FebSun1+10)=2),FebSun1+10, "")</f>
        <v>45693</v>
      </c>
      <c r="M7" s="17">
        <f>IF(AND(YEAR(FebSun1+11)=$A$1,MONTH(FebSun1+11)=2),FebSun1+11, "")</f>
        <v>45694</v>
      </c>
      <c r="N7" s="17">
        <f>IF(AND(YEAR(FebSun1+12)=$A$1,MONTH(FebSun1+12)=2),FebSun1+12, "")</f>
        <v>45695</v>
      </c>
      <c r="O7" s="17">
        <f>IF(AND(YEAR(FebSun1+13)=$A$1,MONTH(FebSun1+13)=2),FebSun1+13, "")</f>
        <v>45696</v>
      </c>
      <c r="P7" s="18"/>
      <c r="Q7" s="17">
        <f>IF(AND(YEAR(MarSun1+7)=$A$1,MONTH(MarSun1+7)=3),MarSun1+7, "")</f>
        <v>45718</v>
      </c>
      <c r="R7" s="17">
        <f>IF(AND(YEAR(MarSun1+8)=$A$1,MONTH(MarSun1+8)=3),MarSun1+8, "")</f>
        <v>45719</v>
      </c>
      <c r="S7" s="37">
        <f>IF(AND(YEAR(MarSun1+9)=$A$1,MONTH(MarSun1+9)=3),MarSun1+9, "")</f>
        <v>45720</v>
      </c>
      <c r="T7" s="17">
        <f>IF(AND(YEAR(MarSun1+10)=$A$1,MONTH(MarSun1+10)=3),MarSun1+10, "")</f>
        <v>45721</v>
      </c>
      <c r="U7" s="17">
        <f>IF(AND(YEAR(MarSun1+11)=$A$1,MONTH(MarSun1+11)=3),MarSun1+11, "")</f>
        <v>45722</v>
      </c>
      <c r="V7" s="17">
        <f>IF(AND(YEAR(MarSun1+12)=$A$1,MONTH(MarSun1+12)=3),MarSun1+12, "")</f>
        <v>45723</v>
      </c>
      <c r="W7" s="17">
        <f>IF(AND(YEAR(MarSun1+13)=$A$1,MONTH(MarSun1+13)=3),MarSun1+13, "")</f>
        <v>45724</v>
      </c>
    </row>
    <row r="8" spans="1:23" ht="16" customHeight="1" x14ac:dyDescent="0.3">
      <c r="A8" s="17">
        <f>IF(AND(YEAR(JanSun1+14)=$A$1,MONTH(JanSun1+14)=1),JanSun1+14, "")</f>
        <v>45669</v>
      </c>
      <c r="B8" s="23">
        <f>IF(AND(YEAR(JanSun1+15)=$A$1,MONTH(JanSun1+15)=1),JanSun1+15, "")</f>
        <v>45670</v>
      </c>
      <c r="C8" s="17">
        <f>IF(AND(YEAR(JanSun1+16)=$A$1,MONTH(JanSun1+16)=1),JanSun1+16, "")</f>
        <v>45671</v>
      </c>
      <c r="D8" s="17">
        <f>IF(AND(YEAR(JanSun1+17)=$A$1,MONTH(JanSun1+17)=1),JanSun1+17, "")</f>
        <v>45672</v>
      </c>
      <c r="E8" s="17">
        <f>IF(AND(YEAR(JanSun1+18)=$A$1,MONTH(JanSun1+18)=1),JanSun1+18, "")</f>
        <v>45673</v>
      </c>
      <c r="F8" s="17">
        <f>IF(AND(YEAR(JanSun1+19)=$A$1,MONTH(JanSun1+19)=1),JanSun1+19, "")</f>
        <v>45674</v>
      </c>
      <c r="G8" s="17">
        <f>IF(AND(YEAR(JanSun1+20)=$A$1,MONTH(JanSun1+20)=1),JanSun1+20, "")</f>
        <v>45675</v>
      </c>
      <c r="H8" s="18"/>
      <c r="I8" s="17">
        <f>IF(AND(YEAR(FebSun1+14)=$A$1,MONTH(FebSun1+14)=2),FebSun1+14, "")</f>
        <v>45697</v>
      </c>
      <c r="J8" s="17">
        <f>IF(AND(YEAR(FebSun1+15)=$A$1,MONTH(FebSun1+15)=2),FebSun1+15, "")</f>
        <v>45698</v>
      </c>
      <c r="K8" s="17">
        <f>IF(AND(YEAR(FebSun1+16)=$A$1,MONTH(FebSun1+16)=2),FebSun1+16, "")</f>
        <v>45699</v>
      </c>
      <c r="L8" s="17">
        <f>IF(AND(YEAR(FebSun1+17)=$A$1,MONTH(FebSun1+17)=2),FebSun1+17, "")</f>
        <v>45700</v>
      </c>
      <c r="M8" s="17">
        <f>IF(AND(YEAR(FebSun1+18)=$A$1,MONTH(FebSun1+18)=2),FebSun1+18, "")</f>
        <v>45701</v>
      </c>
      <c r="N8" s="17">
        <f>IF(AND(YEAR(FebSun1+19)=$A$1,MONTH(FebSun1+19)=2),FebSun1+19, "")</f>
        <v>45702</v>
      </c>
      <c r="O8" s="17">
        <f>IF(AND(YEAR(FebSun1+20)=$A$1,MONTH(FebSun1+20)=2),FebSun1+20, "")</f>
        <v>45703</v>
      </c>
      <c r="P8" s="18"/>
      <c r="Q8" s="17">
        <f>IF(AND(YEAR(MarSun1+14)=$A$1,MONTH(MarSun1+14)=3),MarSun1+14, "")</f>
        <v>45725</v>
      </c>
      <c r="R8" s="17">
        <f>IF(AND(YEAR(MarSun1+15)=$A$1,MONTH(MarSun1+15)=3),MarSun1+15, "")</f>
        <v>45726</v>
      </c>
      <c r="S8" s="39">
        <f>IF(AND(YEAR(MarSun1+16)=$A$1,MONTH(MarSun1+16)=3),MarSun1+16, "")</f>
        <v>45727</v>
      </c>
      <c r="T8" s="17">
        <f>IF(AND(YEAR(MarSun1+17)=$A$1,MONTH(MarSun1+17)=3),MarSun1+17, "")</f>
        <v>45728</v>
      </c>
      <c r="U8" s="17">
        <f>IF(AND(YEAR(MarSun1+18)=$A$1,MONTH(MarSun1+18)=3),MarSun1+18, "")</f>
        <v>45729</v>
      </c>
      <c r="V8" s="17">
        <f>IF(AND(YEAR(MarSun1+19)=$A$1,MONTH(MarSun1+19)=3),MarSun1+19, "")</f>
        <v>45730</v>
      </c>
      <c r="W8" s="17">
        <f>IF(AND(YEAR(MarSun1+20)=$A$1,MONTH(MarSun1+20)=3),MarSun1+20, "")</f>
        <v>45731</v>
      </c>
    </row>
    <row r="9" spans="1:23" ht="16" customHeight="1" x14ac:dyDescent="0.3">
      <c r="A9" s="17">
        <f>IF(AND(YEAR(JanSun1+21)=$A$1,MONTH(JanSun1+21)=1),JanSun1+21, "")</f>
        <v>45676</v>
      </c>
      <c r="B9" s="22">
        <f>IF(AND(YEAR(JanSun1+22)=$A$1,MONTH(JanSun1+22)=1),JanSun1+22, "")</f>
        <v>45677</v>
      </c>
      <c r="C9" s="17">
        <f>IF(AND(YEAR(JanSun1+23)=$A$1,MONTH(JanSun1+23)=1),JanSun1+23, "")</f>
        <v>45678</v>
      </c>
      <c r="D9" s="17">
        <f>IF(AND(YEAR(JanSun1+24)=$A$1,MONTH(JanSun1+24)=1),JanSun1+24, "")</f>
        <v>45679</v>
      </c>
      <c r="E9" s="17">
        <f>IF(AND(YEAR(JanSun1+25)=$A$1,MONTH(JanSun1+25)=1),JanSun1+25, "")</f>
        <v>45680</v>
      </c>
      <c r="F9" s="22">
        <f>IF(AND(YEAR(JanSun1+26)=$A$1,MONTH(JanSun1+26)=1),JanSun1+26, "")</f>
        <v>45681</v>
      </c>
      <c r="G9" s="17">
        <f>IF(AND(YEAR(JanSun1+27)=$A$1,MONTH(JanSun1+27)=1),JanSun1+27, "")</f>
        <v>45682</v>
      </c>
      <c r="H9" s="18"/>
      <c r="I9" s="17">
        <f>IF(AND(YEAR(FebSun1+21)=$A$1,MONTH(FebSun1+21)=2),FebSun1+21, "")</f>
        <v>45704</v>
      </c>
      <c r="J9" s="23">
        <f>IF(AND(YEAR(FebSun1+22)=$A$1,MONTH(FebSun1+22)=2),FebSun1+22, "")</f>
        <v>45705</v>
      </c>
      <c r="K9" s="17">
        <f>IF(AND(YEAR(FebSun1+23)=$A$1,MONTH(FebSun1+23)=2),FebSun1+23, "")</f>
        <v>45706</v>
      </c>
      <c r="L9" s="17">
        <f>IF(AND(YEAR(FebSun1+24)=$A$1,MONTH(FebSun1+24)=2),FebSun1+24, "")</f>
        <v>45707</v>
      </c>
      <c r="M9" s="17">
        <f>IF(AND(YEAR(FebSun1+25)=$A$1,MONTH(FebSun1+25)=2),FebSun1+25, "")</f>
        <v>45708</v>
      </c>
      <c r="N9" s="17">
        <f>IF(AND(YEAR(FebSun1+26)=$A$1,MONTH(FebSun1+26)=2),FebSun1+26, "")</f>
        <v>45709</v>
      </c>
      <c r="O9" s="17">
        <f>IF(AND(YEAR(FebSun1+27)=$A$1,MONTH(FebSun1+27)=2),FebSun1+27, "")</f>
        <v>45710</v>
      </c>
      <c r="P9" s="18"/>
      <c r="Q9" s="17">
        <f>IF(AND(YEAR(MarSun1+21)=$A$1,MONTH(MarSun1+21)=3),MarSun1+21, "")</f>
        <v>45732</v>
      </c>
      <c r="R9" s="17">
        <f>IF(AND(YEAR(MarSun1+22)=$A$1,MONTH(MarSun1+22)=3),MarSun1+22, "")</f>
        <v>45733</v>
      </c>
      <c r="S9" s="17">
        <f>IF(AND(YEAR(MarSun1+23)=$A$1,MONTH(MarSun1+23)=3),MarSun1+23, "")</f>
        <v>45734</v>
      </c>
      <c r="T9" s="17">
        <f>IF(AND(YEAR(MarSun1+24)=$A$1,MONTH(MarSun1+24)=3),MarSun1+24, "")</f>
        <v>45735</v>
      </c>
      <c r="U9" s="17">
        <f>IF(AND(YEAR(MarSun1+25)=$A$1,MONTH(MarSun1+25)=3),MarSun1+25, "")</f>
        <v>45736</v>
      </c>
      <c r="V9" s="17">
        <f>IF(AND(YEAR(MarSun1+26)=$A$1,MONTH(MarSun1+26)=3),MarSun1+26, "")</f>
        <v>45737</v>
      </c>
      <c r="W9" s="17">
        <f>IF(AND(YEAR(MarSun1+27)=$A$1,MONTH(MarSun1+27)=3),MarSun1+27, "")</f>
        <v>45738</v>
      </c>
    </row>
    <row r="10" spans="1:23" ht="16" customHeight="1" x14ac:dyDescent="0.3">
      <c r="A10" s="17">
        <f>IF(AND(YEAR(JanSun1+28)=$A$1,MONTH(JanSun1+28)=1),JanSun1+28, "")</f>
        <v>45683</v>
      </c>
      <c r="B10" s="17">
        <f>IF(AND(YEAR(JanSun1+29)=$A$1,MONTH(JanSun1+29)=1),JanSun1+29, "")</f>
        <v>45684</v>
      </c>
      <c r="C10" s="17">
        <f>IF(AND(YEAR(JanSun1+30)=$A$1,MONTH(JanSun1+30)=1),JanSun1+30, "")</f>
        <v>45685</v>
      </c>
      <c r="D10" s="17">
        <f>IF(AND(YEAR(JanSun1+31)=$A$1,MONTH(JanSun1+31)=1),JanSun1+31, "")</f>
        <v>45686</v>
      </c>
      <c r="E10" s="17">
        <f>IF(AND(YEAR(JanSun1+32)=$A$1,MONTH(JanSun1+32)=1),JanSun1+32, "")</f>
        <v>45687</v>
      </c>
      <c r="F10" s="17">
        <f>IF(AND(YEAR(JanSun1+33)=$A$1,MONTH(JanSun1+33)=1),JanSun1+33, "")</f>
        <v>45688</v>
      </c>
      <c r="G10" s="17" t="str">
        <f>IF(AND(YEAR(JanSun1+34)=$A$1,MONTH(JanSun1+34)=1),JanSun1+34, "")</f>
        <v/>
      </c>
      <c r="H10" s="18"/>
      <c r="I10" s="17">
        <f>IF(AND(YEAR(FebSun1+28)=$A$1,MONTH(FebSun1+28)=2),FebSun1+28, "")</f>
        <v>45711</v>
      </c>
      <c r="J10" s="17">
        <f>IF(AND(YEAR(FebSun1+29)=$A$1,MONTH(FebSun1+29)=2),FebSun1+29, "")</f>
        <v>45712</v>
      </c>
      <c r="K10" s="17">
        <f>IF(AND(YEAR(FebSun1+30)=$A$1,MONTH(FebSun1+30)=2),FebSun1+30, "")</f>
        <v>45713</v>
      </c>
      <c r="L10" s="17">
        <f>IF(AND(YEAR(FebSun1+31)=$A$1,MONTH(FebSun1+31)=2),FebSun1+31, "")</f>
        <v>45714</v>
      </c>
      <c r="M10" s="17">
        <f>IF(AND(YEAR(FebSun1+32)=$A$1,MONTH(FebSun1+32)=2),FebSun1+32, "")</f>
        <v>45715</v>
      </c>
      <c r="N10" s="17">
        <f>IF(AND(YEAR(FebSun1+33)=$A$1,MONTH(FebSun1+33)=2),FebSun1+33, "")</f>
        <v>45716</v>
      </c>
      <c r="O10" s="17" t="str">
        <f>IF(AND(YEAR(FebSun1+34)=$A$1,MONTH(FebSun1+34)=2),FebSun1+34, "")</f>
        <v/>
      </c>
      <c r="P10" s="18"/>
      <c r="Q10" s="17">
        <f>IF(AND(YEAR(MarSun1+28)=$A$1,MONTH(MarSun1+28)=3),MarSun1+28, "")</f>
        <v>45739</v>
      </c>
      <c r="R10" s="17">
        <f>IF(AND(YEAR(MarSun1+29)=$A$1,MONTH(MarSun1+29)=3),MarSun1+29, "")</f>
        <v>45740</v>
      </c>
      <c r="S10" s="17">
        <f>IF(AND(YEAR(MarSun1+30)=$A$1,MONTH(MarSun1+30)=3),MarSun1+30, "")</f>
        <v>45741</v>
      </c>
      <c r="T10" s="17">
        <f>IF(AND(YEAR(MarSun1+31)=$A$1,MONTH(MarSun1+31)=3),MarSun1+31, "")</f>
        <v>45742</v>
      </c>
      <c r="U10" s="17">
        <f>IF(AND(YEAR(MarSun1+32)=$A$1,MONTH(MarSun1+32)=3),MarSun1+32, "")</f>
        <v>45743</v>
      </c>
      <c r="V10" s="17">
        <f>IF(AND(YEAR(MarSun1+33)=$A$1,MONTH(MarSun1+33)=3),MarSun1+33, "")</f>
        <v>45744</v>
      </c>
      <c r="W10" s="17">
        <f>IF(AND(YEAR(MarSun1+34)=$A$1,MONTH(MarSun1+34)=3),MarSun1+34, "")</f>
        <v>45745</v>
      </c>
    </row>
    <row r="11" spans="1:23" ht="16" customHeight="1" x14ac:dyDescent="0.45">
      <c r="A11" s="30" t="str">
        <f>IF(AND(YEAR(JanSun1+35)=$A$1,MONTH(JanSun1+35)=1),JanSun1+35, "")</f>
        <v/>
      </c>
      <c r="B11" s="8" t="str">
        <f>IF(AND(YEAR(JanSun1+36)=$A$1,MONTH(JanSun1+36)=1),JanSun1+36, "")</f>
        <v/>
      </c>
      <c r="C11" s="8" t="str">
        <f>IF(AND(YEAR(JanSun1+37)=$A$1,MONTH(JanSun1+37)=1),JanSun1+37, "")</f>
        <v/>
      </c>
      <c r="D11" s="8" t="str">
        <f>IF(AND(YEAR(JanSun1+38)=$A$1,MONTH(JanSun1+38)=1),JanSun1+38, "")</f>
        <v/>
      </c>
      <c r="E11" s="8" t="str">
        <f>IF(AND(YEAR(JanSun1+39)=$A$1,MONTH(JanSun1+39)=1),JanSun1+39, "")</f>
        <v/>
      </c>
      <c r="F11" s="8" t="str">
        <f>IF(AND(YEAR(JanSun1+40)=$A$1,MONTH(JanSun1+40)=1),JanSun1+40, "")</f>
        <v/>
      </c>
      <c r="G11" s="8" t="str">
        <f>IF(AND(YEAR(JanSun1+41)=$A$1,MONTH(JanSun1+41)=1),JanSun1+41, "")</f>
        <v/>
      </c>
      <c r="H11" s="9"/>
      <c r="I11" s="41"/>
      <c r="J11" s="41"/>
      <c r="K11" s="41"/>
      <c r="L11" s="41"/>
      <c r="M11" s="41"/>
      <c r="N11" s="41"/>
      <c r="O11" s="41"/>
      <c r="P11" s="9"/>
      <c r="Q11" s="17">
        <f>IF(AND(YEAR(MarSun1+35)=$A$1,MONTH(MarSun1+35)=3),MarSun1+35, "")</f>
        <v>45746</v>
      </c>
      <c r="R11" s="8">
        <f>IF(AND(YEAR(MarSun1+36)=$A$1,MONTH(MarSun1+36)=3),MarSun1+36, "")</f>
        <v>45747</v>
      </c>
      <c r="S11" s="8" t="str">
        <f>IF(AND(YEAR(MarSun1+37)=$A$1,MONTH(MarSun1+37)=3),MarSun1+37, "")</f>
        <v/>
      </c>
      <c r="T11" s="8" t="str">
        <f>IF(AND(YEAR(MarSun1+38)=$A$1,MONTH(MarSun1+38)=3),MarSun1+38, "")</f>
        <v/>
      </c>
      <c r="U11" s="44"/>
      <c r="V11" s="44"/>
      <c r="W11" s="44"/>
    </row>
    <row r="12" spans="1:23" ht="15" customHeight="1" x14ac:dyDescent="0.3">
      <c r="A12" s="10"/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1"/>
      <c r="Q12" s="10"/>
      <c r="R12" s="10"/>
      <c r="S12" s="10"/>
      <c r="T12" s="8"/>
      <c r="U12" s="8"/>
      <c r="V12" s="8"/>
      <c r="W12" s="8"/>
    </row>
    <row r="13" spans="1:23" s="7" customFormat="1" ht="12" customHeight="1" x14ac:dyDescent="0.25">
      <c r="A13" s="32"/>
      <c r="Q13" s="32"/>
      <c r="T13" s="10"/>
      <c r="U13" s="10"/>
      <c r="V13" s="10"/>
      <c r="W13" s="10"/>
    </row>
    <row r="14" spans="1:23" ht="16" customHeight="1" x14ac:dyDescent="0.35">
      <c r="A14" s="42" t="s">
        <v>8</v>
      </c>
      <c r="B14" s="42"/>
      <c r="C14" s="42"/>
      <c r="D14" s="42"/>
      <c r="E14" s="42"/>
      <c r="F14" s="42"/>
      <c r="G14" s="42"/>
      <c r="H14" s="6"/>
      <c r="I14" s="42" t="s">
        <v>9</v>
      </c>
      <c r="J14" s="42"/>
      <c r="K14" s="42"/>
      <c r="L14" s="42"/>
      <c r="M14" s="42"/>
      <c r="N14" s="42"/>
      <c r="O14" s="42"/>
      <c r="P14" s="6"/>
      <c r="Q14" s="42" t="s">
        <v>10</v>
      </c>
      <c r="R14" s="42"/>
      <c r="S14" s="42"/>
      <c r="T14" s="42"/>
      <c r="U14" s="42"/>
      <c r="V14" s="42"/>
      <c r="W14" s="42"/>
    </row>
    <row r="15" spans="1:23" ht="16" customHeight="1" x14ac:dyDescent="0.3">
      <c r="A15" s="4" t="s">
        <v>0</v>
      </c>
      <c r="B15" s="4" t="s">
        <v>1</v>
      </c>
      <c r="C15" s="4" t="s">
        <v>2</v>
      </c>
      <c r="D15" s="4" t="s">
        <v>3</v>
      </c>
      <c r="E15" s="4" t="s">
        <v>2</v>
      </c>
      <c r="F15" s="4" t="s">
        <v>4</v>
      </c>
      <c r="G15" s="4" t="s">
        <v>0</v>
      </c>
      <c r="H15" s="5"/>
      <c r="I15" s="4" t="s">
        <v>0</v>
      </c>
      <c r="J15" s="4" t="s">
        <v>1</v>
      </c>
      <c r="K15" s="4" t="s">
        <v>2</v>
      </c>
      <c r="L15" s="4" t="s">
        <v>3</v>
      </c>
      <c r="M15" s="4" t="s">
        <v>2</v>
      </c>
      <c r="N15" s="4" t="s">
        <v>4</v>
      </c>
      <c r="O15" s="4" t="s">
        <v>0</v>
      </c>
      <c r="P15" s="5"/>
      <c r="Q15" s="4" t="s">
        <v>0</v>
      </c>
      <c r="R15" s="4" t="s">
        <v>1</v>
      </c>
      <c r="S15" s="4" t="s">
        <v>2</v>
      </c>
      <c r="T15" s="4" t="s">
        <v>3</v>
      </c>
      <c r="U15" s="4" t="s">
        <v>2</v>
      </c>
      <c r="V15" s="4" t="s">
        <v>4</v>
      </c>
      <c r="W15" s="4" t="s">
        <v>0</v>
      </c>
    </row>
    <row r="16" spans="1:23" ht="16" customHeight="1" x14ac:dyDescent="0.3">
      <c r="A16" s="17" t="str">
        <f>IF(AND(YEAR(AprSun1)=$A$1,MONTH(AprSun1)=4),AprSun1, "")</f>
        <v/>
      </c>
      <c r="B16" s="17" t="str">
        <f>IF(AND(YEAR(AprSun1+1)=$A$1,MONTH(AprSun1+1)=4),AprSun1+1, "")</f>
        <v/>
      </c>
      <c r="C16" s="37">
        <f>IF(AND(YEAR(AprSun1+2)=$A$1,MONTH(AprSun1+2)=4),AprSun1+2, "")</f>
        <v>45748</v>
      </c>
      <c r="D16" s="17">
        <f>IF(AND(YEAR(AprSun1+3)=$A$1,MONTH(AprSun1+3)=4),AprSun1+3, "")</f>
        <v>45749</v>
      </c>
      <c r="E16" s="17">
        <f>IF(AND(YEAR(AprSun1+4)=$A$1,MONTH(AprSun1+4)=4),AprSun1+4, "")</f>
        <v>45750</v>
      </c>
      <c r="F16" s="17">
        <f>IF(AND(YEAR(AprSun1+5)=$A$1,MONTH(AprSun1+5)=4),AprSun1+5, "")</f>
        <v>45751</v>
      </c>
      <c r="G16" s="17">
        <f>IF(AND(YEAR(AprSun1+6)=$A$1,MONTH(AprSun1+6)=4),AprSun1+6, "")</f>
        <v>45752</v>
      </c>
      <c r="H16" s="18"/>
      <c r="I16" s="17" t="str">
        <f>IF(AND(YEAR(MaySun1)=$A$1,MONTH(MaySun1)=5),MaySun1, "")</f>
        <v/>
      </c>
      <c r="J16" s="17" t="str">
        <f>IF(AND(YEAR(MaySun1+1)=$A$1,MONTH(MaySun1+1)=5),MaySun1+1, "")</f>
        <v/>
      </c>
      <c r="K16" s="22" t="str">
        <f>IF(AND(YEAR(MaySun1+2)=$A$1,MONTH(MaySun1+2)=5),MaySun1+2, "")</f>
        <v/>
      </c>
      <c r="L16" s="22" t="str">
        <f>IF(AND(YEAR(MaySun1+3)=$A$1,MONTH(MaySun1+3)=5),MaySun1+3, "")</f>
        <v/>
      </c>
      <c r="M16" s="17">
        <f>IF(AND(YEAR(MaySun1+4)=$A$1,MONTH(MaySun1+4)=5),MaySun1+4, "")</f>
        <v>45778</v>
      </c>
      <c r="N16" s="17">
        <f>IF(AND(YEAR(MaySun1+5)=$A$1,MONTH(MaySun1+5)=5),MaySun1+5, "")</f>
        <v>45779</v>
      </c>
      <c r="O16" s="17">
        <f>IF(AND(YEAR(MaySun1+6)=$A$1,MONTH(MaySun1+6)=5),MaySun1+6, "")</f>
        <v>45780</v>
      </c>
      <c r="P16" s="18"/>
      <c r="Q16" s="17">
        <f>IF(AND(YEAR(JunSun1)=$A$1,MONTH(JunSun1)=6),JunSun1, "")</f>
        <v>45809</v>
      </c>
      <c r="R16" s="17">
        <f>IF(AND(YEAR(JunSun1+1)=$A$1,MONTH(JunSun1+1)=6),JunSun1+1, "")</f>
        <v>45810</v>
      </c>
      <c r="S16" s="37">
        <f>IF(AND(YEAR(JunSun1+2)=$A$1,MONTH(JunSun1+2)=6),JunSun1+2, "")</f>
        <v>45811</v>
      </c>
      <c r="T16" s="17">
        <f>IF(AND(YEAR(JunSun1+3)=$A$1,MONTH(JunSun1+3)=6),JunSun1+3, "")</f>
        <v>45812</v>
      </c>
      <c r="U16" s="17">
        <f>IF(AND(YEAR(JunSun1+4)=$A$1,MONTH(JunSun1+4)=6),JunSun1+4, "")</f>
        <v>45813</v>
      </c>
      <c r="V16" s="17">
        <f>IF(AND(YEAR(JunSun1+5)=$A$1,MONTH(JunSun1+5)=6),JunSun1+5, "")</f>
        <v>45814</v>
      </c>
      <c r="W16" s="17">
        <f>IF(AND(YEAR(JunSun1+6)=$A$1,MONTH(JunSun1+6)=6),JunSun1+6, "")</f>
        <v>45815</v>
      </c>
    </row>
    <row r="17" spans="1:23" ht="16" customHeight="1" x14ac:dyDescent="0.3">
      <c r="A17" s="17">
        <f>IF(AND(YEAR(AprSun1+7)=$A$1,MONTH(AprSun1+7)=4),AprSun1+7, "")</f>
        <v>45753</v>
      </c>
      <c r="B17" s="17">
        <f>IF(AND(YEAR(AprSun1+8)=$A$1,MONTH(AprSun1+8)=4),AprSun1+8, "")</f>
        <v>45754</v>
      </c>
      <c r="C17" s="17">
        <f>IF(AND(YEAR(AprSun1+9)=$A$1,MONTH(AprSun1+9)=4),AprSun1+9, "")</f>
        <v>45755</v>
      </c>
      <c r="D17" s="17">
        <f>IF(AND(YEAR(AprSun1+10)=$A$1,MONTH(AprSun1+10)=4),AprSun1+10, "")</f>
        <v>45756</v>
      </c>
      <c r="E17" s="17">
        <f>IF(AND(YEAR(AprSun1+11)=$A$1,MONTH(AprSun1+11)=4),AprSun1+11, "")</f>
        <v>45757</v>
      </c>
      <c r="F17" s="17">
        <f>IF(AND(YEAR(AprSun1+12)=$A$1,MONTH(AprSun1+12)=4),AprSun1+12, "")</f>
        <v>45758</v>
      </c>
      <c r="G17" s="17">
        <f>IF(AND(YEAR(AprSun1+13)=$A$1,MONTH(AprSun1+13)=4),AprSun1+13, "")</f>
        <v>45759</v>
      </c>
      <c r="H17" s="18"/>
      <c r="I17" s="17">
        <f>IF(AND(YEAR(MaySun1+7)=$A$1,MONTH(MaySun1+7)=5),MaySun1+7, "")</f>
        <v>45781</v>
      </c>
      <c r="J17" s="17">
        <f>IF(AND(YEAR(MaySun1+8)=$A$1,MONTH(MaySun1+8)=5),MaySun1+8, "")</f>
        <v>45782</v>
      </c>
      <c r="K17" s="37">
        <f>IF(AND(YEAR(MaySun1+9)=$A$1,MONTH(MaySun1+9)=5),MaySun1+9, "")</f>
        <v>45783</v>
      </c>
      <c r="L17" s="17">
        <f>IF(AND(YEAR(MaySun1+10)=$A$1,MONTH(MaySun1+10)=5),MaySun1+10, "")</f>
        <v>45784</v>
      </c>
      <c r="M17" s="17">
        <f>IF(AND(YEAR(MaySun1+11)=$A$1,MONTH(MaySun1+11)=5),MaySun1+11, "")</f>
        <v>45785</v>
      </c>
      <c r="N17" s="17">
        <f>IF(AND(YEAR(MaySun1+12)=$A$1,MONTH(MaySun1+12)=5),MaySun1+12, "")</f>
        <v>45786</v>
      </c>
      <c r="O17" s="17">
        <f>IF(AND(YEAR(MaySun1+13)=$A$1,MONTH(MaySun1+13)=5),MaySun1+13, "")</f>
        <v>45787</v>
      </c>
      <c r="P17" s="18"/>
      <c r="Q17" s="17">
        <f>IF(AND(YEAR(JunSun1+7)=$A$1,MONTH(JunSun1+7)=6),JunSun1+7, "")</f>
        <v>45816</v>
      </c>
      <c r="R17" s="17">
        <f>IF(AND(YEAR(JunSun1+8)=$A$1,MONTH(JunSun1+8)=6),JunSun1+8, "")</f>
        <v>45817</v>
      </c>
      <c r="S17" s="38">
        <f>IF(AND(YEAR(JunSun1+9)=$A$1,MONTH(JunSun1+9)=6),JunSun1+9, "")</f>
        <v>45818</v>
      </c>
      <c r="T17" s="22">
        <f>IF(AND(YEAR(JunSun1+10)=$A$1,MONTH(JunSun1+10)=6),JunSun1+10, "")</f>
        <v>45819</v>
      </c>
      <c r="U17" s="17">
        <f>IF(AND(YEAR(JunSun1+11)=$A$1,MONTH(JunSun1+11)=6),JunSun1+11, "")</f>
        <v>45820</v>
      </c>
      <c r="V17" s="17">
        <f>IF(AND(YEAR(JunSun1+12)=$A$1,MONTH(JunSun1+12)=6),JunSun1+12, "")</f>
        <v>45821</v>
      </c>
      <c r="W17" s="17">
        <f>IF(AND(YEAR(JunSun1+13)=$A$1,MONTH(JunSun1+13)=6),JunSun1+13, "")</f>
        <v>45822</v>
      </c>
    </row>
    <row r="18" spans="1:23" ht="16" customHeight="1" x14ac:dyDescent="0.3">
      <c r="A18" s="17">
        <f>IF(AND(YEAR(AprSun1+14)=$A$1,MONTH(AprSun1+14)=4),AprSun1+14, "")</f>
        <v>45760</v>
      </c>
      <c r="B18" s="17">
        <f>IF(AND(YEAR(AprSun1+15)=$A$1,MONTH(AprSun1+15)=4),AprSun1+15, "")</f>
        <v>45761</v>
      </c>
      <c r="C18" s="17">
        <f>IF(AND(YEAR(AprSun1+16)=$A$1,MONTH(AprSun1+16)=4),AprSun1+16, "")</f>
        <v>45762</v>
      </c>
      <c r="D18" s="17">
        <f>IF(AND(YEAR(AprSun1+17)=$A$1,MONTH(AprSun1+17)=4),AprSun1+17, "")</f>
        <v>45763</v>
      </c>
      <c r="E18" s="17">
        <f>IF(AND(YEAR(AprSun1+18)=$A$1,MONTH(AprSun1+18)=4),AprSun1+18, "")</f>
        <v>45764</v>
      </c>
      <c r="F18" s="17">
        <f>IF(AND(YEAR(AprSun1+19)=$A$1,MONTH(AprSun1+19)=4),AprSun1+19, "")</f>
        <v>45765</v>
      </c>
      <c r="G18" s="17">
        <f>IF(AND(YEAR(AprSun1+20)=$A$1,MONTH(AprSun1+20)=4),AprSun1+20, "")</f>
        <v>45766</v>
      </c>
      <c r="H18" s="18"/>
      <c r="I18" s="17">
        <f>IF(AND(YEAR(MaySun1+14)=$A$1,MONTH(MaySun1+14)=5),MaySun1+14, "")</f>
        <v>45788</v>
      </c>
      <c r="J18" s="17">
        <f>IF(AND(YEAR(MaySun1+15)=$A$1,MONTH(MaySun1+15)=5),MaySun1+15, "")</f>
        <v>45789</v>
      </c>
      <c r="K18" s="17">
        <f>IF(AND(YEAR(MaySun1+16)=$A$1,MONTH(MaySun1+16)=5),MaySun1+16, "")</f>
        <v>45790</v>
      </c>
      <c r="L18" s="17">
        <f>IF(AND(YEAR(MaySun1+17)=$A$1,MONTH(MaySun1+17)=5),MaySun1+17, "")</f>
        <v>45791</v>
      </c>
      <c r="M18" s="17">
        <f>IF(AND(YEAR(MaySun1+18)=$A$1,MONTH(MaySun1+18)=5),MaySun1+18, "")</f>
        <v>45792</v>
      </c>
      <c r="N18" s="17">
        <f>IF(AND(YEAR(MaySun1+19)=$A$1,MONTH(MaySun1+19)=5),MaySun1+19, "")</f>
        <v>45793</v>
      </c>
      <c r="O18" s="17">
        <f>IF(AND(YEAR(MaySun1+20)=$A$1,MONTH(MaySun1+20)=5),MaySun1+20, "")</f>
        <v>45794</v>
      </c>
      <c r="P18" s="18"/>
      <c r="Q18" s="17">
        <f>IF(AND(YEAR(JunSun1+14)=$A$1,MONTH(JunSun1+14)=6),JunSun1+14, "")</f>
        <v>45823</v>
      </c>
      <c r="R18" s="17">
        <f>IF(AND(YEAR(JunSun1+15)=$A$1,MONTH(JunSun1+15)=6),JunSun1+15, "")</f>
        <v>45824</v>
      </c>
      <c r="S18" s="22">
        <f>IF(AND(YEAR(JunSun1+16)=$A$1,MONTH(JunSun1+16)=6),JunSun1+16, "")</f>
        <v>45825</v>
      </c>
      <c r="T18" s="22">
        <f>IF(AND(YEAR(JunSun1+17)=$A$1,MONTH(JunSun1+17)=6),JunSun1+17, "")</f>
        <v>45826</v>
      </c>
      <c r="U18" s="17">
        <f>IF(AND(YEAR(JunSun1+18)=$A$1,MONTH(JunSun1+18)=6),JunSun1+18, "")</f>
        <v>45827</v>
      </c>
      <c r="V18" s="17">
        <f>IF(AND(YEAR(JunSun1+19)=$A$1,MONTH(JunSun1+19)=6),JunSun1+19, "")</f>
        <v>45828</v>
      </c>
      <c r="W18" s="17">
        <f>IF(AND(YEAR(JunSun1+20)=$A$1,MONTH(JunSun1+20)=6),JunSun1+20, "")</f>
        <v>45829</v>
      </c>
    </row>
    <row r="19" spans="1:23" ht="16" customHeight="1" x14ac:dyDescent="0.3">
      <c r="A19" s="17">
        <f>IF(AND(YEAR(AprSun1+21)=$A$1,MONTH(AprSun1+21)=4),AprSun1+21, "")</f>
        <v>45767</v>
      </c>
      <c r="B19" s="17">
        <f>IF(AND(YEAR(AprSun1+22)=$A$1,MONTH(AprSun1+22)=4),AprSun1+22, "")</f>
        <v>45768</v>
      </c>
      <c r="C19" s="17">
        <f>IF(AND(YEAR(AprSun1+23)=$A$1,MONTH(AprSun1+23)=4),AprSun1+23, "")</f>
        <v>45769</v>
      </c>
      <c r="D19" s="17">
        <f>IF(AND(YEAR(AprSun1+24)=$A$1,MONTH(AprSun1+24)=4),AprSun1+24, "")</f>
        <v>45770</v>
      </c>
      <c r="E19" s="17">
        <f>IF(AND(YEAR(AprSun1+25)=$A$1,MONTH(AprSun1+25)=4),AprSun1+25, "")</f>
        <v>45771</v>
      </c>
      <c r="F19" s="22">
        <f>IF(AND(YEAR(AprSun1+26)=$A$1,MONTH(AprSun1+26)=4),AprSun1+26, "")</f>
        <v>45772</v>
      </c>
      <c r="G19" s="17">
        <f>IF(AND(YEAR(AprSun1+27)=$A$1,MONTH(AprSun1+27)=4),AprSun1+27, "")</f>
        <v>45773</v>
      </c>
      <c r="H19" s="18"/>
      <c r="I19" s="17">
        <f>IF(AND(YEAR(MaySun1+21)=$A$1,MONTH(MaySun1+21)=5),MaySun1+21, "")</f>
        <v>45795</v>
      </c>
      <c r="J19" s="17">
        <f>IF(AND(YEAR(MaySun1+22)=$A$1,MONTH(MaySun1+22)=5),MaySun1+22, "")</f>
        <v>45796</v>
      </c>
      <c r="K19" s="17">
        <f>IF(AND(YEAR(MaySun1+23)=$A$1,MONTH(MaySun1+23)=5),MaySun1+23, "")</f>
        <v>45797</v>
      </c>
      <c r="L19" s="17">
        <f>IF(AND(YEAR(MaySun1+24)=$A$1,MONTH(MaySun1+24)=5),MaySun1+24, "")</f>
        <v>45798</v>
      </c>
      <c r="M19" s="17">
        <f>IF(AND(YEAR(MaySun1+25)=$A$1,MONTH(MaySun1+25)=5),MaySun1+25, "")</f>
        <v>45799</v>
      </c>
      <c r="N19" s="17">
        <f>IF(AND(YEAR(MaySun1+26)=$A$1,MONTH(MaySun1+26)=5),MaySun1+26, "")</f>
        <v>45800</v>
      </c>
      <c r="O19" s="17">
        <f>IF(AND(YEAR(MaySun1+27)=$A$1,MONTH(MaySun1+27)=5),MaySun1+27, "")</f>
        <v>45801</v>
      </c>
      <c r="P19" s="18"/>
      <c r="Q19" s="17">
        <f>IF(AND(YEAR(JunSun1+21)=$A$1,MONTH(JunSun1+21)=6),JunSun1+21, "")</f>
        <v>45830</v>
      </c>
      <c r="R19" s="22">
        <f>IF(AND(YEAR(JunSun1+22)=$A$1,MONTH(JunSun1+22)=6),JunSun1+22, "")</f>
        <v>45831</v>
      </c>
      <c r="S19" s="17">
        <f>IF(AND(YEAR(JunSun1+23)=$A$1,MONTH(JunSun1+23)=6),JunSun1+23, "")</f>
        <v>45832</v>
      </c>
      <c r="T19" s="23">
        <f>IF(AND(YEAR(JunSun1+24)=$A$1,MONTH(JunSun1+24)=6),JunSun1+24, "")</f>
        <v>45833</v>
      </c>
      <c r="U19" s="17">
        <f>IF(AND(YEAR(JunSun1+25)=$A$1,MONTH(JunSun1+25)=6),JunSun1+25, "")</f>
        <v>45834</v>
      </c>
      <c r="V19" s="17">
        <f>IF(AND(YEAR(JunSun1+26)=$A$1,MONTH(JunSun1+26)=6),JunSun1+26, "")</f>
        <v>45835</v>
      </c>
      <c r="W19" s="17">
        <f>IF(AND(YEAR(JunSun1+27)=$A$1,MONTH(JunSun1+27)=6),JunSun1+27, "")</f>
        <v>45836</v>
      </c>
    </row>
    <row r="20" spans="1:23" ht="16" customHeight="1" x14ac:dyDescent="0.45">
      <c r="A20" s="17">
        <f>IF(AND(YEAR(AprSun1+28)=$A$1,MONTH(AprSun1+28)=4),AprSun1+28, "")</f>
        <v>45774</v>
      </c>
      <c r="B20" s="22">
        <f>IF(AND(YEAR(AprSun1+29)=$A$1,MONTH(AprSun1+29)=4),AprSun1+29, "")</f>
        <v>45775</v>
      </c>
      <c r="C20" s="17">
        <f>IF(AND(YEAR(AprSun1+30)=$A$1,MONTH(AprSun1+30)=4),AprSun1+30, "")</f>
        <v>45776</v>
      </c>
      <c r="D20" s="17">
        <f>IF(AND(YEAR(AprSun1+31)=$A$1,MONTH(AprSun1+31)=4),AprSun1+31, "")</f>
        <v>45777</v>
      </c>
      <c r="E20" s="17" t="str">
        <f>IF(AND(YEAR(AprSun1+32)=$A$1,MONTH(AprSun1+32)=4),AprSun1+32, "")</f>
        <v/>
      </c>
      <c r="F20" s="17" t="str">
        <f>IF(AND(YEAR(AprSun1+33)=$A$1,MONTH(AprSun1+33)=4),AprSun1+33, "")</f>
        <v/>
      </c>
      <c r="G20" s="17" t="str">
        <f>IF(AND(YEAR(AprSun1+34)=$A$1,MONTH(AprSun1+34)=4),AprSun1+34, "")</f>
        <v/>
      </c>
      <c r="H20" s="18"/>
      <c r="I20" s="17">
        <f>IF(AND(YEAR(MaySun1+28)=$A$1,MONTH(MaySun1+28)=5),MaySun1+28, "")</f>
        <v>45802</v>
      </c>
      <c r="J20" s="23">
        <f>IF(AND(YEAR(MaySun1+29)=$A$1,MONTH(MaySun1+29)=5),MaySun1+29, "")</f>
        <v>45803</v>
      </c>
      <c r="K20" s="17">
        <f>IF(AND(YEAR(MaySun1+30)=$A$1,MONTH(MaySun1+30)=5),MaySun1+30, "")</f>
        <v>45804</v>
      </c>
      <c r="L20" s="17">
        <f>IF(AND(YEAR(MaySun1+31)=$A$1,MONTH(MaySun1+31)=5),MaySun1+31, "")</f>
        <v>45805</v>
      </c>
      <c r="M20" s="17">
        <f>IF(AND(YEAR(MaySun1+32)=$A$1,MONTH(MaySun1+32)=5),MaySun1+32, "")</f>
        <v>45806</v>
      </c>
      <c r="N20" s="17">
        <f>IF(AND(YEAR(MaySun1+33)=$A$1,MONTH(MaySun1+33)=5),MaySun1+33, "")</f>
        <v>45807</v>
      </c>
      <c r="O20" s="17">
        <f>IF(AND(YEAR(MaySun1+34)=$A$1,MONTH(MaySun1+34)=5),MaySun1+34, "")</f>
        <v>45808</v>
      </c>
      <c r="P20" s="18"/>
      <c r="Q20" s="17">
        <f>IF(AND(YEAR(JunSun1+28)=$A$1,MONTH(JunSun1+28)=6),JunSun1+28, "")</f>
        <v>45837</v>
      </c>
      <c r="R20" s="17">
        <f>IF(AND(YEAR(JunSun1+29)=$A$1,MONTH(JunSun1+29)=6),JunSun1+29, "")</f>
        <v>45838</v>
      </c>
      <c r="S20" s="17" t="str">
        <f>IF(AND(YEAR(JunSun1+30)=$A$1,MONTH(JunSun1+30)=6),JunSun1+30, "")</f>
        <v/>
      </c>
      <c r="T20" s="17" t="str">
        <f>IF(AND(YEAR(JunSun1+31)=$A$1,MONTH(JunSun1+31)=6),JunSun1+31, "")</f>
        <v/>
      </c>
      <c r="U20" s="17">
        <v>30</v>
      </c>
      <c r="V20" s="26"/>
      <c r="W20" s="26"/>
    </row>
    <row r="21" spans="1:23" ht="16" customHeight="1" x14ac:dyDescent="0.4">
      <c r="A21" s="17"/>
      <c r="B21" s="24"/>
      <c r="C21" s="24"/>
      <c r="D21" s="24"/>
      <c r="E21" s="24"/>
      <c r="F21" s="24"/>
      <c r="G21" s="24"/>
      <c r="H21" s="25"/>
      <c r="I21" s="17"/>
      <c r="J21" s="23"/>
      <c r="K21" s="21"/>
      <c r="L21" s="21"/>
      <c r="M21" s="21"/>
      <c r="N21" s="21"/>
      <c r="O21" s="21"/>
      <c r="P21" s="13"/>
      <c r="Q21" s="17">
        <v>30</v>
      </c>
      <c r="R21" s="27"/>
      <c r="S21" s="27"/>
      <c r="T21" s="27"/>
      <c r="U21" s="27"/>
      <c r="V21" s="27"/>
      <c r="W21" s="27"/>
    </row>
    <row r="22" spans="1:23" ht="15" customHeight="1" x14ac:dyDescent="0.3">
      <c r="A22" s="11"/>
      <c r="B22" s="11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0"/>
      <c r="P22" s="11"/>
      <c r="Q22" s="46"/>
      <c r="R22" s="46"/>
      <c r="S22" s="46"/>
      <c r="T22" s="46"/>
      <c r="U22" s="46"/>
      <c r="V22" s="46"/>
      <c r="W22" s="46"/>
    </row>
    <row r="23" spans="1:23" s="7" customFormat="1" ht="12" customHeight="1" x14ac:dyDescent="0.25">
      <c r="A23" s="29"/>
      <c r="I23" s="29"/>
      <c r="Q23" s="47"/>
      <c r="R23" s="47"/>
      <c r="S23" s="47"/>
      <c r="T23" s="47"/>
      <c r="U23" s="47"/>
      <c r="V23" s="47"/>
      <c r="W23" s="47"/>
    </row>
    <row r="24" spans="1:23" ht="16" customHeight="1" x14ac:dyDescent="0.35">
      <c r="A24" s="42" t="s">
        <v>11</v>
      </c>
      <c r="B24" s="42"/>
      <c r="C24" s="42"/>
      <c r="D24" s="42"/>
      <c r="E24" s="42"/>
      <c r="F24" s="42"/>
      <c r="G24" s="42"/>
      <c r="H24" s="6"/>
      <c r="I24" s="42" t="s">
        <v>14</v>
      </c>
      <c r="J24" s="42"/>
      <c r="K24" s="42"/>
      <c r="L24" s="42"/>
      <c r="M24" s="42"/>
      <c r="N24" s="42"/>
      <c r="O24" s="42"/>
      <c r="P24" s="6"/>
      <c r="Q24" s="42" t="s">
        <v>12</v>
      </c>
      <c r="R24" s="42"/>
      <c r="S24" s="42"/>
      <c r="T24" s="42"/>
      <c r="U24" s="42"/>
      <c r="V24" s="42"/>
      <c r="W24" s="42"/>
    </row>
    <row r="25" spans="1:23" ht="16" customHeight="1" x14ac:dyDescent="0.3">
      <c r="A25" s="4" t="s">
        <v>0</v>
      </c>
      <c r="B25" s="4" t="s">
        <v>1</v>
      </c>
      <c r="C25" s="4" t="s">
        <v>2</v>
      </c>
      <c r="D25" s="4" t="s">
        <v>3</v>
      </c>
      <c r="E25" s="4" t="s">
        <v>2</v>
      </c>
      <c r="F25" s="4" t="s">
        <v>4</v>
      </c>
      <c r="G25" s="4" t="s">
        <v>0</v>
      </c>
      <c r="H25" s="5"/>
      <c r="I25" s="4" t="s">
        <v>0</v>
      </c>
      <c r="J25" s="4" t="s">
        <v>1</v>
      </c>
      <c r="K25" s="4" t="s">
        <v>2</v>
      </c>
      <c r="L25" s="4" t="s">
        <v>3</v>
      </c>
      <c r="M25" s="4" t="s">
        <v>2</v>
      </c>
      <c r="N25" s="4" t="s">
        <v>4</v>
      </c>
      <c r="O25" s="4" t="s">
        <v>0</v>
      </c>
      <c r="P25" s="5"/>
      <c r="Q25" s="4" t="s">
        <v>0</v>
      </c>
      <c r="R25" s="4" t="s">
        <v>1</v>
      </c>
      <c r="S25" s="4" t="s">
        <v>2</v>
      </c>
      <c r="T25" s="4" t="s">
        <v>3</v>
      </c>
      <c r="U25" s="4" t="s">
        <v>2</v>
      </c>
      <c r="V25" s="4" t="s">
        <v>4</v>
      </c>
      <c r="W25" s="4" t="s">
        <v>0</v>
      </c>
    </row>
    <row r="26" spans="1:23" ht="16" customHeight="1" x14ac:dyDescent="0.3">
      <c r="A26" s="17" t="str">
        <f>IF(AND(YEAR(JulSun1)=$A$1,MONTH(JulSun1)=7),JulSun1, "")</f>
        <v/>
      </c>
      <c r="B26" s="17" t="str">
        <f>IF(AND(YEAR(JulSun1+1)=$A$1,MONTH(JulSun1+1)=7),JulSun1+1, "")</f>
        <v/>
      </c>
      <c r="C26" s="37">
        <f>IF(AND(YEAR(JulSun1+2)=$A$1,MONTH(JulSun1+2)=7),JulSun1+2, "")</f>
        <v>45839</v>
      </c>
      <c r="D26" s="17">
        <f>IF(AND(YEAR(JulSun1+3)=$A$1,MONTH(JulSun1+3)=7),JulSun1+3, "")</f>
        <v>45840</v>
      </c>
      <c r="E26" s="23">
        <f>IF(AND(YEAR(JulSun1+4)=$A$1,MONTH(JulSun1+4)=7),JulSun1+4, "")</f>
        <v>45841</v>
      </c>
      <c r="F26" s="22">
        <f>IF(AND(YEAR(JulSun1+5)=$A$1,MONTH(JulSun1+5)=7),JulSun1+5, "")</f>
        <v>45842</v>
      </c>
      <c r="G26" s="17">
        <f>IF(AND(YEAR(JulSun1+6)=$A$1,MONTH(JulSun1+6)=7),JulSun1+6, "")</f>
        <v>45843</v>
      </c>
      <c r="H26" s="18"/>
      <c r="I26" s="17" t="str">
        <f>IF(AND(YEAR(AugSun1)=$A$1,MONTH(AugSun1)=8),AugSun1, "")</f>
        <v/>
      </c>
      <c r="J26" s="17" t="str">
        <f>IF(AND(YEAR(AugSun1+1)=$A$1,MONTH(AugSun1+1)=8),AugSun1+1, "")</f>
        <v/>
      </c>
      <c r="K26" s="17" t="str">
        <f>IF(AND(YEAR(AugSun1+2)=$A$1,MONTH(AugSun1+2)=8),AugSun1+2, "")</f>
        <v/>
      </c>
      <c r="L26" s="17" t="str">
        <f>IF(AND(YEAR(AugSun1+3)=$A$1,MONTH(AugSun1+3)=8),AugSun1+3, "")</f>
        <v/>
      </c>
      <c r="M26" s="17" t="str">
        <f>IF(AND(YEAR(AugSun1+4)=$A$1,MONTH(AugSun1+4)=8),AugSun1+4, "")</f>
        <v/>
      </c>
      <c r="N26" s="17">
        <f>IF(AND(YEAR(AugSun1+5)=$A$1,MONTH(AugSun1+5)=8),AugSun1+5, "")</f>
        <v>45870</v>
      </c>
      <c r="O26" s="17">
        <f>IF(AND(YEAR(AugSun1+6)=$A$1,MONTH(AugSun1+6)=8),AugSun1+6, "")</f>
        <v>45871</v>
      </c>
      <c r="P26" s="18"/>
      <c r="Q26" s="17" t="str">
        <f>IF(AND(YEAR(SepSun1)=$A$1,MONTH(SepSun1)=9),SepSun1, "")</f>
        <v/>
      </c>
      <c r="R26" s="23">
        <f>IF(AND(YEAR(SepSun1+1)=$A$1,MONTH(SepSun1+1)=9),SepSun1+1, "")</f>
        <v>45901</v>
      </c>
      <c r="S26" s="37">
        <f>IF(AND(YEAR(SepSun1+2)=$A$1,MONTH(SepSun1+2)=9),SepSun1+2, "")</f>
        <v>45902</v>
      </c>
      <c r="T26" s="17">
        <f>IF(AND(YEAR(SepSun1+3)=$A$1,MONTH(SepSun1+3)=9),SepSun1+3, "")</f>
        <v>45903</v>
      </c>
      <c r="U26" s="17">
        <f>IF(AND(YEAR(SepSun1+4)=$A$1,MONTH(SepSun1+4)=9),SepSun1+4, "")</f>
        <v>45904</v>
      </c>
      <c r="V26" s="17">
        <f>IF(AND(YEAR(SepSun1+5)=$A$1,MONTH(SepSun1+5)=9),SepSun1+5, "")</f>
        <v>45905</v>
      </c>
      <c r="W26" s="17">
        <f>IF(AND(YEAR(SepSun1+6)=$A$1,MONTH(SepSun1+6)=9),SepSun1+6, "")</f>
        <v>45906</v>
      </c>
    </row>
    <row r="27" spans="1:23" ht="16" customHeight="1" x14ac:dyDescent="0.3">
      <c r="A27" s="17">
        <f>IF(AND(YEAR(JulSun1+7)=$A$1,MONTH(JulSun1+7)=7),JulSun1+7, "")</f>
        <v>45844</v>
      </c>
      <c r="B27" s="22">
        <f>IF(AND(YEAR(JulSun1+8)=$A$1,MONTH(JulSun1+8)=7),JulSun1+8, "")</f>
        <v>45845</v>
      </c>
      <c r="C27" s="22">
        <f>IF(AND(YEAR(JulSun1+9)=$A$1,MONTH(JulSun1+9)=7),JulSun1+9, "")</f>
        <v>45846</v>
      </c>
      <c r="D27" s="17">
        <f>IF(AND(YEAR(JulSun1+10)=$A$1,MONTH(JulSun1+10)=7),JulSun1+10, "")</f>
        <v>45847</v>
      </c>
      <c r="E27" s="17">
        <f>IF(AND(YEAR(JulSun1+11)=$A$1,MONTH(JulSun1+11)=7),JulSun1+11, "")</f>
        <v>45848</v>
      </c>
      <c r="F27" s="17">
        <f>IF(AND(YEAR(JulSun1+12)=$A$1,MONTH(JulSun1+12)=7),JulSun1+12, "")</f>
        <v>45849</v>
      </c>
      <c r="G27" s="17">
        <f>IF(AND(YEAR(JulSun1+13)=$A$1,MONTH(JulSun1+13)=7),JulSun1+13, "")</f>
        <v>45850</v>
      </c>
      <c r="H27" s="18"/>
      <c r="I27" s="17">
        <f>IF(AND(YEAR(AugSun1+7)=$A$1,MONTH(AugSun1+7)=8),AugSun1+7, "")</f>
        <v>45872</v>
      </c>
      <c r="J27" s="17">
        <f>IF(AND(YEAR(AugSun1+8)=$A$1,MONTH(AugSun1+8)=8),AugSun1+8, "")</f>
        <v>45873</v>
      </c>
      <c r="K27" s="37">
        <f>IF(AND(YEAR(AugSun1+9)=$A$1,MONTH(AugSun1+9)=8),AugSun1+9, "")</f>
        <v>45874</v>
      </c>
      <c r="L27" s="17">
        <f>IF(AND(YEAR(AugSun1+10)=$A$1,MONTH(AugSun1+10)=8),AugSun1+10, "")</f>
        <v>45875</v>
      </c>
      <c r="M27" s="17">
        <f>IF(AND(YEAR(AugSun1+11)=$A$1,MONTH(AugSun1+11)=8),AugSun1+11, "")</f>
        <v>45876</v>
      </c>
      <c r="N27" s="17">
        <f>IF(AND(YEAR(AugSun1+12)=$A$1,MONTH(AugSun1+12)=8),AugSun1+12, "")</f>
        <v>45877</v>
      </c>
      <c r="O27" s="17">
        <f>IF(AND(YEAR(AugSun1+13)=$A$1,MONTH(AugSun1+13)=8),AugSun1+13, "")</f>
        <v>45878</v>
      </c>
      <c r="P27" s="18"/>
      <c r="Q27" s="17">
        <f>IF(AND(YEAR(SepSun1+7)=$A$1,MONTH(SepSun1+7)=9),SepSun1+7, "")</f>
        <v>45907</v>
      </c>
      <c r="R27" s="22">
        <f>IF(AND(YEAR(SepSun1+8)=$A$1,MONTH(SepSun1+8)=9),SepSun1+8, "")</f>
        <v>45908</v>
      </c>
      <c r="S27" s="17">
        <f>IF(AND(YEAR(SepSun1+9)=$A$1,MONTH(SepSun1+9)=9),SepSun1+9, "")</f>
        <v>45909</v>
      </c>
      <c r="T27" s="17">
        <f>IF(AND(YEAR(SepSun1+10)=$A$1,MONTH(SepSun1+10)=9),SepSun1+10, "")</f>
        <v>45910</v>
      </c>
      <c r="U27" s="17">
        <f>IF(AND(YEAR(SepSun1+11)=$A$1,MONTH(SepSun1+11)=9),SepSun1+11, "")</f>
        <v>45911</v>
      </c>
      <c r="V27" s="17">
        <f>IF(AND(YEAR(SepSun1+12)=$A$1,MONTH(SepSun1+12)=9),SepSun1+12, "")</f>
        <v>45912</v>
      </c>
      <c r="W27" s="17">
        <f>IF(AND(YEAR(SepSun1+13)=$A$1,MONTH(SepSun1+13)=9),SepSun1+13, "")</f>
        <v>45913</v>
      </c>
    </row>
    <row r="28" spans="1:23" ht="16" customHeight="1" x14ac:dyDescent="0.3">
      <c r="A28" s="17">
        <f>IF(AND(YEAR(JulSun1+14)=$A$1,MONTH(JulSun1+14)=7),JulSun1+14, "")</f>
        <v>45851</v>
      </c>
      <c r="B28" s="17">
        <f>IF(AND(YEAR(JulSun1+15)=$A$1,MONTH(JulSun1+15)=7),JulSun1+15, "")</f>
        <v>45852</v>
      </c>
      <c r="C28" s="17">
        <f>IF(AND(YEAR(JulSun1+16)=$A$1,MONTH(JulSun1+16)=7),JulSun1+16, "")</f>
        <v>45853</v>
      </c>
      <c r="D28" s="17">
        <f>IF(AND(YEAR(JulSun1+17)=$A$1,MONTH(JulSun1+17)=7),JulSun1+17, "")</f>
        <v>45854</v>
      </c>
      <c r="E28" s="17">
        <f>IF(AND(YEAR(JulSun1+18)=$A$1,MONTH(JulSun1+18)=7),JulSun1+18, "")</f>
        <v>45855</v>
      </c>
      <c r="F28" s="17">
        <f>IF(AND(YEAR(JulSun1+19)=$A$1,MONTH(JulSun1+19)=7),JulSun1+19, "")</f>
        <v>45856</v>
      </c>
      <c r="G28" s="17">
        <f>IF(AND(YEAR(JulSun1+20)=$A$1,MONTH(JulSun1+20)=7),JulSun1+20, "")</f>
        <v>45857</v>
      </c>
      <c r="H28" s="18"/>
      <c r="I28" s="17">
        <f>IF(AND(YEAR(AugSun1+14)=$A$1,MONTH(AugSun1+14)=8),AugSun1+14, "")</f>
        <v>45879</v>
      </c>
      <c r="J28" s="17">
        <f>IF(AND(YEAR(AugSun1+15)=$A$1,MONTH(AugSun1+15)=8),AugSun1+15, "")</f>
        <v>45880</v>
      </c>
      <c r="K28" s="17">
        <f>IF(AND(YEAR(AugSun1+16)=$A$1,MONTH(AugSun1+16)=8),AugSun1+16, "")</f>
        <v>45881</v>
      </c>
      <c r="L28" s="17">
        <f>IF(AND(YEAR(AugSun1+17)=$A$1,MONTH(AugSun1+17)=8),AugSun1+17, "")</f>
        <v>45882</v>
      </c>
      <c r="M28" s="17">
        <f>IF(AND(YEAR(AugSun1+18)=$A$1,MONTH(AugSun1+18)=8),AugSun1+18, "")</f>
        <v>45883</v>
      </c>
      <c r="N28" s="17">
        <f>IF(AND(YEAR(AugSun1+19)=$A$1,MONTH(AugSun1+19)=8),AugSun1+19, "")</f>
        <v>45884</v>
      </c>
      <c r="O28" s="17">
        <f>IF(AND(YEAR(AugSun1+20)=$A$1,MONTH(AugSun1+20)=8),AugSun1+20, "")</f>
        <v>45885</v>
      </c>
      <c r="P28" s="18"/>
      <c r="Q28" s="17">
        <f>IF(AND(YEAR(SepSun1+14)=$A$1,MONTH(SepSun1+14)=9),SepSun1+14, "")</f>
        <v>45914</v>
      </c>
      <c r="R28" s="17">
        <f>IF(AND(YEAR(SepSun1+15)=$A$1,MONTH(SepSun1+15)=9),SepSun1+15, "")</f>
        <v>45915</v>
      </c>
      <c r="S28" s="17">
        <f>IF(AND(YEAR(SepSun1+16)=$A$1,MONTH(SepSun1+16)=9),SepSun1+16, "")</f>
        <v>45916</v>
      </c>
      <c r="T28" s="17">
        <f>IF(AND(YEAR(SepSun1+17)=$A$1,MONTH(SepSun1+17)=9),SepSun1+17, "")</f>
        <v>45917</v>
      </c>
      <c r="U28" s="17">
        <f>IF(AND(YEAR(SepSun1+18)=$A$1,MONTH(SepSun1+18)=9),SepSun1+18, "")</f>
        <v>45918</v>
      </c>
      <c r="V28" s="17">
        <f>IF(AND(YEAR(SepSun1+19)=$A$1,MONTH(SepSun1+19)=9),SepSun1+19, "")</f>
        <v>45919</v>
      </c>
      <c r="W28" s="17">
        <f>IF(AND(YEAR(SepSun1+20)=$A$1,MONTH(SepSun1+20)=9),SepSun1+20, "")</f>
        <v>45920</v>
      </c>
    </row>
    <row r="29" spans="1:23" ht="16" customHeight="1" x14ac:dyDescent="0.3">
      <c r="A29" s="17">
        <f>IF(AND(YEAR(JulSun1+21)=$A$1,MONTH(JulSun1+21)=7),JulSun1+21, "")</f>
        <v>45858</v>
      </c>
      <c r="B29" s="17">
        <f>IF(AND(YEAR(JulSun1+22)=$A$1,MONTH(JulSun1+22)=7),JulSun1+22, "")</f>
        <v>45859</v>
      </c>
      <c r="C29" s="17">
        <f>IF(AND(YEAR(JulSun1+23)=$A$1,MONTH(JulSun1+23)=7),JulSun1+23, "")</f>
        <v>45860</v>
      </c>
      <c r="D29" s="17">
        <f>IF(AND(YEAR(JulSun1+24)=$A$1,MONTH(JulSun1+24)=7),JulSun1+24, "")</f>
        <v>45861</v>
      </c>
      <c r="E29" s="17">
        <f>IF(AND(YEAR(JulSun1+25)=$A$1,MONTH(JulSun1+25)=7),JulSun1+25, "")</f>
        <v>45862</v>
      </c>
      <c r="F29" s="17">
        <f>IF(AND(YEAR(JulSun1+26)=$A$1,MONTH(JulSun1+26)=7),JulSun1+26, "")</f>
        <v>45863</v>
      </c>
      <c r="G29" s="17">
        <f>IF(AND(YEAR(JulSun1+27)=$A$1,MONTH(JulSun1+27)=7),JulSun1+27, "")</f>
        <v>45864</v>
      </c>
      <c r="H29" s="18"/>
      <c r="I29" s="17">
        <f>IF(AND(YEAR(AugSun1+21)=$A$1,MONTH(AugSun1+21)=8),AugSun1+21, "")</f>
        <v>45886</v>
      </c>
      <c r="J29" s="17">
        <f>IF(AND(YEAR(AugSun1+22)=$A$1,MONTH(AugSun1+22)=8),AugSun1+22, "")</f>
        <v>45887</v>
      </c>
      <c r="K29" s="17">
        <f>IF(AND(YEAR(AugSun1+23)=$A$1,MONTH(AugSun1+23)=8),AugSun1+23, "")</f>
        <v>45888</v>
      </c>
      <c r="L29" s="17">
        <f>IF(AND(YEAR(AugSun1+24)=$A$1,MONTH(AugSun1+24)=8),AugSun1+24, "")</f>
        <v>45889</v>
      </c>
      <c r="M29" s="17">
        <f>IF(AND(YEAR(AugSun1+25)=$A$1,MONTH(AugSun1+25)=8),AugSun1+25, "")</f>
        <v>45890</v>
      </c>
      <c r="N29" s="17">
        <f>IF(AND(YEAR(AugSun1+26)=$A$1,MONTH(AugSun1+26)=8),AugSun1+26, "")</f>
        <v>45891</v>
      </c>
      <c r="O29" s="17">
        <f>IF(AND(YEAR(AugSun1+27)=$A$1,MONTH(AugSun1+27)=8),AugSun1+27, "")</f>
        <v>45892</v>
      </c>
      <c r="P29" s="18"/>
      <c r="Q29" s="17">
        <f>IF(AND(YEAR(SepSun1+21)=$A$1,MONTH(SepSun1+21)=9),SepSun1+21, "")</f>
        <v>45921</v>
      </c>
      <c r="R29" s="17">
        <f>IF(AND(YEAR(SepSun1+22)=$A$1,MONTH(SepSun1+22)=9),SepSun1+22, "")</f>
        <v>45922</v>
      </c>
      <c r="S29" s="17">
        <f>IF(AND(YEAR(SepSun1+23)=$A$1,MONTH(SepSun1+23)=9),SepSun1+23, "")</f>
        <v>45923</v>
      </c>
      <c r="T29" s="17">
        <f>IF(AND(YEAR(SepSun1+24)=$A$1,MONTH(SepSun1+24)=9),SepSun1+24, "")</f>
        <v>45924</v>
      </c>
      <c r="U29" s="17">
        <f>IF(AND(YEAR(SepSun1+25)=$A$1,MONTH(SepSun1+25)=9),SepSun1+25, "")</f>
        <v>45925</v>
      </c>
      <c r="V29" s="17">
        <f>IF(AND(YEAR(SepSun1+26)=$A$1,MONTH(SepSun1+26)=9),SepSun1+26, "")</f>
        <v>45926</v>
      </c>
      <c r="W29" s="17">
        <f>IF(AND(YEAR(SepSun1+27)=$A$1,MONTH(SepSun1+27)=9),SepSun1+27, "")</f>
        <v>45927</v>
      </c>
    </row>
    <row r="30" spans="1:23" ht="16" customHeight="1" x14ac:dyDescent="0.3">
      <c r="A30" s="17">
        <f>IF(AND(YEAR(JulSun1+28)=$A$1,MONTH(JulSun1+28)=7),JulSun1+28, "")</f>
        <v>45865</v>
      </c>
      <c r="B30" s="17">
        <f>IF(AND(YEAR(JulSun1+29)=$A$1,MONTH(JulSun1+29)=7),JulSun1+29, "")</f>
        <v>45866</v>
      </c>
      <c r="C30" s="17">
        <f>IF(AND(YEAR(JulSun1+30)=$A$1,MONTH(JulSun1+30)=7),JulSun1+30, "")</f>
        <v>45867</v>
      </c>
      <c r="D30" s="17">
        <f>IF(AND(YEAR(JulSun1+31)=$A$1,MONTH(JulSun1+31)=7),JulSun1+31, "")</f>
        <v>45868</v>
      </c>
      <c r="E30" s="17">
        <f>IF(AND(YEAR(JulSun1+32)=$A$1,MONTH(JulSun1+32)=7),JulSun1+32, "")</f>
        <v>45869</v>
      </c>
      <c r="F30" s="17" t="str">
        <f>IF(AND(YEAR(JulSun1+33)=$A$1,MONTH(JulSun1+33)=7),JulSun1+33, "")</f>
        <v/>
      </c>
      <c r="G30" s="17" t="str">
        <f>IF(AND(YEAR(JulSun1+34)=$A$1,MONTH(JulSun1+34)=7),JulSun1+34, "")</f>
        <v/>
      </c>
      <c r="H30" s="18"/>
      <c r="I30" s="17">
        <f>IF(AND(YEAR(AugSun1+28)=$A$1,MONTH(AugSun1+28)=8),AugSun1+28, "")</f>
        <v>45893</v>
      </c>
      <c r="J30" s="17">
        <f>IF(AND(YEAR(AugSun1+29)=$A$1,MONTH(AugSun1+29)=8),AugSun1+29, "")</f>
        <v>45894</v>
      </c>
      <c r="K30" s="17">
        <f>IF(AND(YEAR(AugSun1+30)=$A$1,MONTH(AugSun1+30)=8),AugSun1+30, "")</f>
        <v>45895</v>
      </c>
      <c r="L30" s="17">
        <f>IF(AND(YEAR(AugSun1+31)=$A$1,MONTH(AugSun1+31)=8),AugSun1+31, "")</f>
        <v>45896</v>
      </c>
      <c r="M30" s="17">
        <f>IF(AND(YEAR(AugSun1+32)=$A$1,MONTH(AugSun1+32)=8),AugSun1+32, "")</f>
        <v>45897</v>
      </c>
      <c r="N30" s="17">
        <f>IF(AND(YEAR(AugSun1+33)=$A$1,MONTH(AugSun1+33)=8),AugSun1+33, "")</f>
        <v>45898</v>
      </c>
      <c r="O30" s="17">
        <f>IF(AND(YEAR(AugSun1+34)=$A$1,MONTH(AugSun1+34)=8),AugSun1+34, "")</f>
        <v>45899</v>
      </c>
      <c r="P30" s="18"/>
      <c r="Q30" s="17">
        <f>IF(AND(YEAR(SepSun1+28)=$A$1,MONTH(SepSun1+28)=9),SepSun1+28, "")</f>
        <v>45928</v>
      </c>
      <c r="R30" s="17">
        <f>IF(AND(YEAR(SepSun1+29)=$A$1,MONTH(SepSun1+29)=9),SepSun1+29, "")</f>
        <v>45929</v>
      </c>
      <c r="S30" s="17">
        <f>IF(AND(YEAR(SepSun1+30)=$A$1,MONTH(SepSun1+30)=9),SepSun1+30, "")</f>
        <v>45930</v>
      </c>
      <c r="T30" s="17" t="str">
        <f>IF(AND(YEAR(SepSun1+31)=$A$1,MONTH(SepSun1+31)=9),SepSun1+31, "")</f>
        <v/>
      </c>
      <c r="U30" s="17" t="str">
        <f>IF(AND(YEAR(SepSun1+32)=$A$1,MONTH(SepSun1+32)=9),SepSun1+32, "")</f>
        <v/>
      </c>
      <c r="V30" s="17" t="str">
        <f>IF(AND(YEAR(SepSun1+33)=$A$1,MONTH(SepSun1+33)=9),SepSun1+33, "")</f>
        <v/>
      </c>
      <c r="W30" s="17" t="str">
        <f>IF(AND(YEAR(SepSun1+34)=$A$1,MONTH(SepSun1+34)=9),SepSun1+34, "")</f>
        <v/>
      </c>
    </row>
    <row r="31" spans="1:23" ht="16" customHeight="1" x14ac:dyDescent="0.4">
      <c r="A31" s="17" t="str">
        <f>IF(AND(YEAR(JulSun1+35)=$A$1,MONTH(JulSun1+35)=7),JulSun1+35, "")</f>
        <v/>
      </c>
      <c r="B31" s="17" t="str">
        <f>IF(AND(YEAR(JulSun1+36)=$A$1,MONTH(JulSun1+36)=7),JulSun1+36, "")</f>
        <v/>
      </c>
      <c r="C31" s="17" t="str">
        <f>IF(AND(YEAR(JulSun1+37)=$A$1,MONTH(JulSun1+37)=7),JulSun1+37, "")</f>
        <v/>
      </c>
      <c r="D31" s="17" t="str">
        <f>IF(AND(YEAR(JulSun1+38)=$A$1,MONTH(JulSun1+38)=7),JulSun1+38, "")</f>
        <v/>
      </c>
      <c r="E31" s="17" t="str">
        <f>IF(AND(YEAR(JulSun1+39)=$A$1,MONTH(JulSun1+39)=7),JulSun1+39, "")</f>
        <v/>
      </c>
      <c r="F31" s="17" t="str">
        <f>IF(AND(YEAR(JulSun1+40)=$A$1,MONTH(JulSun1+40)=7),JulSun1+40, "")</f>
        <v/>
      </c>
      <c r="G31" s="17" t="str">
        <f>IF(AND(YEAR(JulSun1+41)=$A$1,MONTH(JulSun1+41)=7),JulSun1+41, "")</f>
        <v/>
      </c>
      <c r="H31" s="18"/>
      <c r="I31" s="17">
        <f>IF(AND(YEAR(AugSun1+35)=$A$1,MONTH(AugSun1+35)=8),AugSun1+35, "")</f>
        <v>45900</v>
      </c>
      <c r="J31" s="17" t="str">
        <f>IF(AND(YEAR(AugSun1+36)=$A$1,MONTH(AugSun1+36)=8),AugSun1+36, "")</f>
        <v/>
      </c>
      <c r="K31" s="45"/>
      <c r="L31" s="45"/>
      <c r="M31" s="45"/>
      <c r="N31" s="45"/>
      <c r="O31" s="45"/>
      <c r="P31" s="18"/>
      <c r="Q31" s="45"/>
      <c r="R31" s="45"/>
      <c r="S31" s="45"/>
      <c r="T31" s="45"/>
      <c r="U31" s="45"/>
      <c r="V31" s="17" t="str">
        <f>IF(AND(YEAR(SepSun1+40)=$A$1,MONTH(SepSun1+40)=9),SepSun1+40, "")</f>
        <v/>
      </c>
      <c r="W31" s="17" t="str">
        <f>IF(AND(YEAR(SepSun1+41)=$A$1,MONTH(SepSun1+41)=9),SepSun1+41, "")</f>
        <v/>
      </c>
    </row>
    <row r="32" spans="1:23" ht="16" customHeight="1" x14ac:dyDescent="0.4">
      <c r="A32" s="17"/>
      <c r="B32" s="17"/>
      <c r="C32" s="17"/>
      <c r="D32" s="17"/>
      <c r="E32" s="17"/>
      <c r="F32" s="17"/>
      <c r="G32" s="17"/>
      <c r="H32" s="18"/>
      <c r="I32" s="17"/>
      <c r="J32" s="17"/>
      <c r="K32" s="33"/>
      <c r="L32" s="33"/>
      <c r="M32" s="33"/>
      <c r="N32" s="33"/>
      <c r="O32" s="33"/>
      <c r="P32" s="18"/>
      <c r="Q32" s="33"/>
      <c r="R32" s="33"/>
      <c r="S32" s="33"/>
      <c r="T32" s="33"/>
      <c r="U32" s="33"/>
      <c r="V32" s="17"/>
      <c r="W32" s="17"/>
    </row>
    <row r="33" spans="1:23" ht="15" customHeight="1" x14ac:dyDescent="0.3">
      <c r="A33" s="11"/>
      <c r="B33" s="11"/>
      <c r="C33" s="11"/>
      <c r="D33" s="11"/>
      <c r="E33" s="11"/>
      <c r="F33" s="11"/>
      <c r="G33" s="11"/>
      <c r="H33" s="11"/>
      <c r="I33" s="34"/>
      <c r="J33" s="11"/>
      <c r="K33" s="11"/>
      <c r="L33" s="11"/>
      <c r="M33" s="11"/>
      <c r="N33" s="11"/>
      <c r="O33" s="11"/>
      <c r="P33" s="11"/>
      <c r="Q33" s="29"/>
      <c r="R33" s="14"/>
      <c r="S33" s="14"/>
      <c r="T33" s="14"/>
      <c r="U33" s="14"/>
      <c r="V33" s="14"/>
      <c r="W33" s="12"/>
    </row>
    <row r="34" spans="1:23" s="7" customFormat="1" ht="12.75" customHeight="1" x14ac:dyDescent="0.25">
      <c r="A34" s="11"/>
      <c r="I34" s="47"/>
      <c r="J34" s="47"/>
      <c r="K34" s="47"/>
      <c r="L34" s="47"/>
      <c r="M34" s="47"/>
      <c r="N34" s="47"/>
      <c r="O34" s="47"/>
      <c r="Q34" s="29"/>
      <c r="W34" s="14"/>
    </row>
    <row r="35" spans="1:23" ht="16" customHeight="1" x14ac:dyDescent="0.35">
      <c r="A35" s="42" t="s">
        <v>13</v>
      </c>
      <c r="B35" s="42"/>
      <c r="C35" s="42"/>
      <c r="D35" s="42"/>
      <c r="E35" s="42"/>
      <c r="F35" s="42"/>
      <c r="G35" s="42"/>
      <c r="H35" s="6"/>
      <c r="I35" s="42" t="s">
        <v>15</v>
      </c>
      <c r="J35" s="42"/>
      <c r="K35" s="42"/>
      <c r="L35" s="42"/>
      <c r="M35" s="42"/>
      <c r="N35" s="42"/>
      <c r="O35" s="42"/>
      <c r="P35" s="6"/>
      <c r="Q35" s="42" t="s">
        <v>16</v>
      </c>
      <c r="R35" s="42"/>
      <c r="S35" s="42"/>
      <c r="T35" s="42"/>
      <c r="U35" s="42"/>
      <c r="V35" s="42"/>
      <c r="W35" s="42"/>
    </row>
    <row r="36" spans="1:23" ht="16" customHeight="1" x14ac:dyDescent="0.3">
      <c r="A36" s="4" t="s">
        <v>0</v>
      </c>
      <c r="B36" s="4" t="s">
        <v>1</v>
      </c>
      <c r="C36" s="4" t="s">
        <v>2</v>
      </c>
      <c r="D36" s="4" t="s">
        <v>3</v>
      </c>
      <c r="E36" s="4" t="s">
        <v>2</v>
      </c>
      <c r="F36" s="4" t="s">
        <v>4</v>
      </c>
      <c r="G36" s="4" t="s">
        <v>0</v>
      </c>
      <c r="H36" s="5"/>
      <c r="I36" s="4" t="s">
        <v>0</v>
      </c>
      <c r="J36" s="4" t="s">
        <v>1</v>
      </c>
      <c r="K36" s="4" t="s">
        <v>2</v>
      </c>
      <c r="L36" s="4" t="s">
        <v>3</v>
      </c>
      <c r="M36" s="4" t="s">
        <v>2</v>
      </c>
      <c r="N36" s="4" t="s">
        <v>4</v>
      </c>
      <c r="O36" s="4" t="s">
        <v>0</v>
      </c>
      <c r="P36" s="5"/>
      <c r="Q36" s="4" t="s">
        <v>0</v>
      </c>
      <c r="R36" s="4" t="s">
        <v>1</v>
      </c>
      <c r="S36" s="4" t="s">
        <v>2</v>
      </c>
      <c r="T36" s="4" t="s">
        <v>3</v>
      </c>
      <c r="U36" s="4" t="s">
        <v>2</v>
      </c>
      <c r="V36" s="4" t="s">
        <v>4</v>
      </c>
      <c r="W36" s="4" t="s">
        <v>0</v>
      </c>
    </row>
    <row r="37" spans="1:23" ht="16" customHeight="1" x14ac:dyDescent="0.3">
      <c r="A37" s="17" t="str">
        <f>IF(AND(YEAR(OctSun1)=$A$1,MONTH(OctSun1)=10),OctSun1, "")</f>
        <v/>
      </c>
      <c r="B37" s="17" t="str">
        <f>IF(AND(YEAR(OctSun1+1)=$A$1,MONTH(OctSun1+1)=10),OctSun1+1, "")</f>
        <v/>
      </c>
      <c r="C37" s="39" t="str">
        <f>IF(AND(YEAR(OctSun1+2)=$A$1,MONTH(OctSun1+2)=10),OctSun1+2, "")</f>
        <v/>
      </c>
      <c r="D37" s="17">
        <f>IF(AND(YEAR(OctSun1+3)=$A$1,MONTH(OctSun1+3)=10),OctSun1+3, "")</f>
        <v>45931</v>
      </c>
      <c r="E37" s="17">
        <f>IF(AND(YEAR(OctSun1+4)=$A$1,MONTH(OctSun1+4)=10),OctSun1+4, "")</f>
        <v>45932</v>
      </c>
      <c r="F37" s="17">
        <f>IF(AND(YEAR(OctSun1+5)=$A$1,MONTH(OctSun1+5)=10),OctSun1+5, "")</f>
        <v>45933</v>
      </c>
      <c r="G37" s="17">
        <f>IF(AND(YEAR(OctSun1+6)=$A$1,MONTH(OctSun1+6)=10),OctSun1+6, "")</f>
        <v>45934</v>
      </c>
      <c r="H37" s="18"/>
      <c r="I37" s="17" t="str">
        <f>IF(AND(YEAR(NovSun1)=$A$1,MONTH(NovSun1)=11),NovSun1, "")</f>
        <v/>
      </c>
      <c r="J37" s="17" t="str">
        <f>IF(AND(YEAR(NovSun1+1)=$A$1,MONTH(NovSun1+1)=11),NovSun1+1, "")</f>
        <v/>
      </c>
      <c r="K37" s="17" t="str">
        <f>IF(AND(YEAR(NovSun1+2)=$A$1,MONTH(NovSun1+2)=11),NovSun1+2, "")</f>
        <v/>
      </c>
      <c r="L37" s="17" t="str">
        <f>IF(AND(YEAR(NovSun1+3)=$A$1,MONTH(NovSun1+3)=11),NovSun1+3, "")</f>
        <v/>
      </c>
      <c r="M37" s="17" t="str">
        <f>IF(AND(YEAR(NovSun1+4)=$A$1,MONTH(NovSun1+4)=11),NovSun1+4, "")</f>
        <v/>
      </c>
      <c r="N37" s="17" t="str">
        <f>IF(AND(YEAR(NovSun1+5)=$A$1,MONTH(NovSun1+5)=11),NovSun1+5, "")</f>
        <v/>
      </c>
      <c r="O37" s="17">
        <f>IF(AND(YEAR(NovSun1+6)=$A$1,MONTH(NovSun1+6)=11),NovSun1+6, "")</f>
        <v>45962</v>
      </c>
      <c r="P37" s="18"/>
      <c r="Q37" s="17" t="str">
        <f>IF(AND(YEAR(DecSun1)=$A$1,MONTH(DecSun1)=12),DecSun1, "")</f>
        <v/>
      </c>
      <c r="R37" s="17">
        <f>IF(AND(YEAR(DecSun1+1)=$A$1,MONTH(DecSun1+1)=12),DecSun1+1, "")</f>
        <v>45992</v>
      </c>
      <c r="S37" s="37">
        <f>IF(AND(YEAR(DecSun1+2)=$A$1,MONTH(DecSun1+2)=12),DecSun1+2, "")</f>
        <v>45993</v>
      </c>
      <c r="T37" s="17">
        <f>IF(AND(YEAR(DecSun1+3)=$A$1,MONTH(DecSun1+3)=12),DecSun1+3, "")</f>
        <v>45994</v>
      </c>
      <c r="U37" s="17">
        <f>IF(AND(YEAR(DecSun1+4)=$A$1,MONTH(DecSun1+4)=12),DecSun1+4, "")</f>
        <v>45995</v>
      </c>
      <c r="V37" s="17">
        <f>IF(AND(YEAR(DecSun1+5)=$A$1,MONTH(DecSun1+5)=12),DecSun1+5, "")</f>
        <v>45996</v>
      </c>
      <c r="W37" s="17">
        <f>IF(AND(YEAR(DecSun1+6)=$A$1,MONTH(DecSun1+6)=12),DecSun1+6, "")</f>
        <v>45997</v>
      </c>
    </row>
    <row r="38" spans="1:23" ht="16" customHeight="1" x14ac:dyDescent="0.3">
      <c r="A38" s="17">
        <f>IF(AND(YEAR(OctSun1+7)=$A$1,MONTH(OctSun1+7)=10),OctSun1+7, "")</f>
        <v>45935</v>
      </c>
      <c r="B38" s="17">
        <f>IF(AND(YEAR(OctSun1+8)=$A$1,MONTH(OctSun1+8)=10),OctSun1+8, "")</f>
        <v>45936</v>
      </c>
      <c r="C38" s="37">
        <f>IF(AND(YEAR(OctSun1+9)=$A$1,MONTH(OctSun1+9)=10),OctSun1+9, "")</f>
        <v>45937</v>
      </c>
      <c r="D38" s="17">
        <f>IF(AND(YEAR(OctSun1+10)=$A$1,MONTH(OctSun1+10)=10),OctSun1+10, "")</f>
        <v>45938</v>
      </c>
      <c r="E38" s="17">
        <f>IF(AND(YEAR(OctSun1+11)=$A$1,MONTH(OctSun1+11)=10),OctSun1+11, "")</f>
        <v>45939</v>
      </c>
      <c r="F38" s="17">
        <f>IF(AND(YEAR(OctSun1+12)=$A$1,MONTH(OctSun1+12)=10),OctSun1+12, "")</f>
        <v>45940</v>
      </c>
      <c r="G38" s="17">
        <f>IF(AND(YEAR(OctSun1+13)=$A$1,MONTH(OctSun1+13)=10),OctSun1+13, "")</f>
        <v>45941</v>
      </c>
      <c r="H38" s="18"/>
      <c r="I38" s="17">
        <f>IF(AND(YEAR(NovSun1+7)=$A$1,MONTH(NovSun1+7)=11),NovSun1+7, "")</f>
        <v>45963</v>
      </c>
      <c r="J38" s="17">
        <f>IF(AND(YEAR(NovSun1+8)=$A$1,MONTH(NovSun1+8)=11),NovSun1+8, "")</f>
        <v>45964</v>
      </c>
      <c r="K38" s="37">
        <f>IF(AND(YEAR(NovSun1+9)=$A$1,MONTH(NovSun1+9)=11),NovSun1+9, "")</f>
        <v>45965</v>
      </c>
      <c r="L38" s="22">
        <f>IF(AND(YEAR(NovSun1+10)=$A$1,MONTH(NovSun1+10)=11),NovSun1+10, "")</f>
        <v>45966</v>
      </c>
      <c r="M38" s="17">
        <f>IF(AND(YEAR(NovSun1+11)=$A$1,MONTH(NovSun1+11)=11),NovSun1+11, "")</f>
        <v>45967</v>
      </c>
      <c r="N38" s="22">
        <f>IF(AND(YEAR(NovSun1+12)=$A$1,MONTH(NovSun1+12)=11),NovSun1+12, "")</f>
        <v>45968</v>
      </c>
      <c r="O38" s="17">
        <f>IF(AND(YEAR(NovSun1+13)=$A$1,MONTH(NovSun1+13)=11),NovSun1+13, "")</f>
        <v>45969</v>
      </c>
      <c r="P38" s="18"/>
      <c r="Q38" s="17">
        <f>IF(AND(YEAR(DecSun1+7)=$A$1,MONTH(DecSun1+7)=12),DecSun1+7, "")</f>
        <v>45998</v>
      </c>
      <c r="R38" s="17">
        <f>IF(AND(YEAR(DecSun1+8)=$A$1,MONTH(DecSun1+8)=12),DecSun1+8, "")</f>
        <v>45999</v>
      </c>
      <c r="S38" s="17">
        <f>IF(AND(YEAR(DecSun1+9)=$A$1,MONTH(DecSun1+9)=12),DecSun1+9, "")</f>
        <v>46000</v>
      </c>
      <c r="T38" s="17">
        <f>IF(AND(YEAR(DecSun1+10)=$A$1,MONTH(DecSun1+10)=12),DecSun1+10, "")</f>
        <v>46001</v>
      </c>
      <c r="U38" s="17">
        <f>IF(AND(YEAR(DecSun1+11)=$A$1,MONTH(DecSun1+11)=12),DecSun1+11, "")</f>
        <v>46002</v>
      </c>
      <c r="V38" s="17">
        <f>IF(AND(YEAR(DecSun1+12)=$A$1,MONTH(DecSun1+12)=12),DecSun1+12, "")</f>
        <v>46003</v>
      </c>
      <c r="W38" s="17">
        <f>IF(AND(YEAR(DecSun1+13)=$A$1,MONTH(DecSun1+13)=12),DecSun1+13, "")</f>
        <v>46004</v>
      </c>
    </row>
    <row r="39" spans="1:23" ht="16" customHeight="1" x14ac:dyDescent="0.3">
      <c r="A39" s="17">
        <f>IF(AND(YEAR(OctSun1+14)=$A$1,MONTH(OctSun1+14)=10),OctSun1+14, "")</f>
        <v>45942</v>
      </c>
      <c r="B39" s="17">
        <f>IF(AND(YEAR(OctSun1+15)=$A$1,MONTH(OctSun1+15)=10),OctSun1+15, "")</f>
        <v>45943</v>
      </c>
      <c r="C39" s="17">
        <f>IF(AND(YEAR(OctSun1+16)=$A$1,MONTH(OctSun1+16)=10),OctSun1+16, "")</f>
        <v>45944</v>
      </c>
      <c r="D39" s="17">
        <f>IF(AND(YEAR(OctSun1+17)=$A$1,MONTH(OctSun1+17)=10),OctSun1+17, "")</f>
        <v>45945</v>
      </c>
      <c r="E39" s="17">
        <f>IF(AND(YEAR(OctSun1+18)=$A$1,MONTH(OctSun1+18)=10),OctSun1+18, "")</f>
        <v>45946</v>
      </c>
      <c r="F39" s="17">
        <f>IF(AND(YEAR(OctSun1+19)=$A$1,MONTH(OctSun1+19)=10),OctSun1+19, "")</f>
        <v>45947</v>
      </c>
      <c r="G39" s="17">
        <f>IF(AND(YEAR(OctSun1+20)=$A$1,MONTH(OctSun1+20)=10),OctSun1+20, "")</f>
        <v>45948</v>
      </c>
      <c r="H39" s="18"/>
      <c r="I39" s="17">
        <f>IF(AND(YEAR(NovSun1+14)=$A$1,MONTH(NovSun1+14)=11),NovSun1+14, "")</f>
        <v>45970</v>
      </c>
      <c r="J39" s="23">
        <f>IF(AND(YEAR(NovSun1+15)=$A$1,MONTH(NovSun1+15)=11),NovSun1+15, "")</f>
        <v>45971</v>
      </c>
      <c r="K39" s="17">
        <f>IF(AND(YEAR(NovSun1+16)=$A$1,MONTH(NovSun1+16)=11),NovSun1+16, "")</f>
        <v>45972</v>
      </c>
      <c r="L39" s="17">
        <f>IF(AND(YEAR(NovSun1+17)=$A$1,MONTH(NovSun1+17)=11),NovSun1+17, "")</f>
        <v>45973</v>
      </c>
      <c r="M39" s="17">
        <f>IF(AND(YEAR(NovSun1+18)=$A$1,MONTH(NovSun1+18)=11),NovSun1+18, "")</f>
        <v>45974</v>
      </c>
      <c r="N39" s="17">
        <f>IF(AND(YEAR(NovSun1+19)=$A$1,MONTH(NovSun1+19)=11),NovSun1+19, "")</f>
        <v>45975</v>
      </c>
      <c r="O39" s="17">
        <f>IF(AND(YEAR(NovSun1+20)=$A$1,MONTH(NovSun1+20)=11),NovSun1+20, "")</f>
        <v>45976</v>
      </c>
      <c r="P39" s="18"/>
      <c r="Q39" s="17">
        <f>IF(AND(YEAR(DecSun1+14)=$A$1,MONTH(DecSun1+14)=12),DecSun1+14, "")</f>
        <v>46005</v>
      </c>
      <c r="R39" s="17">
        <f>IF(AND(YEAR(DecSun1+15)=$A$1,MONTH(DecSun1+15)=12),DecSun1+15, "")</f>
        <v>46006</v>
      </c>
      <c r="S39" s="17">
        <f>IF(AND(YEAR(DecSun1+16)=$A$1,MONTH(DecSun1+16)=12),DecSun1+16, "")</f>
        <v>46007</v>
      </c>
      <c r="T39" s="17">
        <f>IF(AND(YEAR(DecSun1+17)=$A$1,MONTH(DecSun1+17)=12),DecSun1+17, "")</f>
        <v>46008</v>
      </c>
      <c r="U39" s="17">
        <f>IF(AND(YEAR(DecSun1+18)=$A$1,MONTH(DecSun1+18)=12),DecSun1+18, "")</f>
        <v>46009</v>
      </c>
      <c r="V39" s="17">
        <f>IF(AND(YEAR(DecSun1+19)=$A$1,MONTH(DecSun1+19)=12),DecSun1+19, "")</f>
        <v>46010</v>
      </c>
      <c r="W39" s="17">
        <f>IF(AND(YEAR(DecSun1+20)=$A$1,MONTH(DecSun1+20)=12),DecSun1+20, "")</f>
        <v>46011</v>
      </c>
    </row>
    <row r="40" spans="1:23" ht="16" customHeight="1" x14ac:dyDescent="0.3">
      <c r="A40" s="17">
        <f>IF(AND(YEAR(OctSun1+21)=$A$1,MONTH(OctSun1+21)=10),OctSun1+21, "")</f>
        <v>45949</v>
      </c>
      <c r="B40" s="22">
        <f>IF(AND(YEAR(OctSun1+22)=$A$1,MONTH(OctSun1+22)=10),OctSun1+22, "")</f>
        <v>45950</v>
      </c>
      <c r="C40" s="22">
        <f>IF(AND(YEAR(OctSun1+23)=$A$1,MONTH(OctSun1+23)=10),OctSun1+23, "")</f>
        <v>45951</v>
      </c>
      <c r="D40" s="17">
        <f>IF(AND(YEAR(OctSun1+24)=$A$1,MONTH(OctSun1+24)=10),OctSun1+24, "")</f>
        <v>45952</v>
      </c>
      <c r="E40" s="17">
        <f>IF(AND(YEAR(OctSun1+25)=$A$1,MONTH(OctSun1+25)=10),OctSun1+25, "")</f>
        <v>45953</v>
      </c>
      <c r="F40" s="22">
        <f>IF(AND(YEAR(OctSun1+26)=$A$1,MONTH(OctSun1+26)=10),OctSun1+26, "")</f>
        <v>45954</v>
      </c>
      <c r="G40" s="17">
        <f>IF(AND(YEAR(OctSun1+27)=$A$1,MONTH(OctSun1+27)=10),OctSun1+27, "")</f>
        <v>45955</v>
      </c>
      <c r="H40" s="18"/>
      <c r="I40" s="17">
        <f>IF(AND(YEAR(NovSun1+21)=$A$1,MONTH(NovSun1+21)=11),NovSun1+21, "")</f>
        <v>45977</v>
      </c>
      <c r="J40" s="17">
        <f>IF(AND(YEAR(NovSun1+22)=$A$1,MONTH(NovSun1+22)=11),NovSun1+22, "")</f>
        <v>45978</v>
      </c>
      <c r="K40" s="17">
        <f>IF(AND(YEAR(NovSun1+23)=$A$1,MONTH(NovSun1+23)=11),NovSun1+23, "")</f>
        <v>45979</v>
      </c>
      <c r="L40" s="17">
        <f>IF(AND(YEAR(NovSun1+24)=$A$1,MONTH(NovSun1+24)=11),NovSun1+24, "")</f>
        <v>45980</v>
      </c>
      <c r="M40" s="22">
        <f>IF(AND(YEAR(NovSun1+25)=$A$1,MONTH(NovSun1+25)=11),NovSun1+25, "")</f>
        <v>45981</v>
      </c>
      <c r="N40" s="22">
        <f>IF(AND(YEAR(NovSun1+26)=$A$1,MONTH(NovSun1+26)=11),NovSun1+26, "")</f>
        <v>45982</v>
      </c>
      <c r="O40" s="17">
        <f>IF(AND(YEAR(NovSun1+27)=$A$1,MONTH(NovSun1+27)=11),NovSun1+27, "")</f>
        <v>45983</v>
      </c>
      <c r="P40" s="18"/>
      <c r="Q40" s="17">
        <f>IF(AND(YEAR(DecSun1+21)=$A$1,MONTH(DecSun1+21)=12),DecSun1+21, "")</f>
        <v>46012</v>
      </c>
      <c r="R40" s="17">
        <f>IF(AND(YEAR(DecSun1+22)=$A$1,MONTH(DecSun1+22)=12),DecSun1+22, "")</f>
        <v>46013</v>
      </c>
      <c r="S40" s="23">
        <f>IF(AND(YEAR(DecSun1+23)=$A$1,MONTH(DecSun1+23)=12),DecSun1+23, "")</f>
        <v>46014</v>
      </c>
      <c r="T40" s="23">
        <f>IF(AND(YEAR(DecSun1+24)=$A$1,MONTH(DecSun1+24)=12),DecSun1+24, "")</f>
        <v>46015</v>
      </c>
      <c r="U40" s="22">
        <f>IF(AND(YEAR(DecSun1+25)=$A$1,MONTH(DecSun1+25)=12),DecSun1+25, "")</f>
        <v>46016</v>
      </c>
      <c r="V40" s="22">
        <f>IF(AND(YEAR(DecSun1+26)=$A$1,MONTH(DecSun1+26)=12),DecSun1+26, "")</f>
        <v>46017</v>
      </c>
      <c r="W40" s="17">
        <f>IF(AND(YEAR(DecSun1+27)=$A$1,MONTH(DecSun1+27)=12),DecSun1+27, "")</f>
        <v>46018</v>
      </c>
    </row>
    <row r="41" spans="1:23" ht="16" customHeight="1" x14ac:dyDescent="0.3">
      <c r="A41" s="17">
        <f>IF(AND(YEAR(OctSun1+28)=$A$1,MONTH(OctSun1+28)=10),OctSun1+28, "")</f>
        <v>45956</v>
      </c>
      <c r="B41" s="22">
        <f>IF(AND(YEAR(OctSun1+29)=$A$1,MONTH(OctSun1+29)=10),OctSun1+29, "")</f>
        <v>45957</v>
      </c>
      <c r="C41" s="22">
        <f>IF(AND(YEAR(OctSun1+30)=$A$1,MONTH(OctSun1+30)=10),OctSun1+30, "")</f>
        <v>45958</v>
      </c>
      <c r="D41" s="17">
        <f>IF(AND(YEAR(OctSun1+31)=$A$1,MONTH(OctSun1+31)=10),OctSun1+31, "")</f>
        <v>45959</v>
      </c>
      <c r="E41" s="17">
        <f>IF(AND(YEAR(OctSun1+32)=$A$1,MONTH(OctSun1+32)=10),OctSun1+32, "")</f>
        <v>45960</v>
      </c>
      <c r="F41" s="17">
        <f>IF(AND(YEAR(OctSun1+33)=$A$1,MONTH(OctSun1+33)=10),OctSun1+33, "")</f>
        <v>45961</v>
      </c>
      <c r="G41" s="17" t="str">
        <f>IF(AND(YEAR(OctSun1+34)=$A$1,MONTH(OctSun1+34)=10),OctSun1+34, "")</f>
        <v/>
      </c>
      <c r="H41" s="18"/>
      <c r="I41" s="17">
        <f>IF(AND(YEAR(NovSun1+28)=$A$1,MONTH(NovSun1+28)=11),NovSun1+28, "")</f>
        <v>45984</v>
      </c>
      <c r="J41" s="17">
        <f>IF(AND(YEAR(NovSun1+29)=$A$1,MONTH(NovSun1+29)=11),NovSun1+29, "")</f>
        <v>45985</v>
      </c>
      <c r="K41" s="17">
        <f>IF(AND(YEAR(NovSun1+30)=$A$1,MONTH(NovSun1+30)=11),NovSun1+30, "")</f>
        <v>45986</v>
      </c>
      <c r="L41" s="17">
        <f>IF(AND(YEAR(NovSun1+31)=$A$1,MONTH(NovSun1+31)=11),NovSun1+31, "")</f>
        <v>45987</v>
      </c>
      <c r="M41" s="23">
        <f>IF(AND(YEAR(NovSun1+32)=$A$1,MONTH(NovSun1+32)=11),NovSun1+32, "")</f>
        <v>45988</v>
      </c>
      <c r="N41" s="23">
        <f>IF(AND(YEAR(NovSun1+33)=$A$1,MONTH(NovSun1+33)=11),NovSun1+33, "")</f>
        <v>45989</v>
      </c>
      <c r="O41" s="17">
        <f>IF(AND(YEAR(NovSun1+34)=$A$1,MONTH(NovSun1+34)=11),NovSun1+34, "")</f>
        <v>45990</v>
      </c>
      <c r="P41" s="18"/>
      <c r="Q41" s="17">
        <f>IF(AND(YEAR(DecSun1+28)=$A$1,MONTH(DecSun1+28)=12),DecSun1+28, "")</f>
        <v>46019</v>
      </c>
      <c r="R41" s="22">
        <f>IF(AND(YEAR(DecSun1+29)=$A$1,MONTH(DecSun1+29)=12),DecSun1+29, "")</f>
        <v>46020</v>
      </c>
      <c r="S41" s="23">
        <f>IF(AND(YEAR(DecSun1+30)=$A$1,MONTH(DecSun1+30)=12),DecSun1+30, "")</f>
        <v>46021</v>
      </c>
      <c r="T41" s="22">
        <f>IF(AND(YEAR(DecSun1+31)=$A$1,MONTH(DecSun1+31)=12),DecSun1+31, "")</f>
        <v>46022</v>
      </c>
      <c r="U41" s="22" t="str">
        <f>IF(AND(YEAR(DecSun1+32)=$A$1,MONTH(DecSun1+32)=12),DecSun1+32, "")</f>
        <v/>
      </c>
      <c r="V41" s="23" t="str">
        <f>IF(AND(YEAR(DecSun1+33)=$A$1,MONTH(DecSun1+33)=12),DecSun1+33, "")</f>
        <v/>
      </c>
      <c r="W41" s="17" t="str">
        <f>IF(AND(YEAR(DecSun1+34)=$A$1,MONTH(DecSun1+34)=12),DecSun1+34, "")</f>
        <v/>
      </c>
    </row>
    <row r="42" spans="1:23" ht="10.5" customHeight="1" x14ac:dyDescent="0.4">
      <c r="B42" s="28"/>
      <c r="C42" s="28"/>
      <c r="D42" s="28"/>
      <c r="E42" s="28"/>
      <c r="F42" s="28"/>
      <c r="G42" s="28"/>
      <c r="H42" s="18"/>
      <c r="I42" s="45"/>
      <c r="J42" s="45"/>
      <c r="K42" s="45"/>
      <c r="L42" s="45"/>
      <c r="M42" s="45"/>
      <c r="N42" s="17"/>
      <c r="O42" s="17"/>
      <c r="P42" s="18"/>
      <c r="Q42" s="45"/>
      <c r="R42" s="45"/>
      <c r="S42" s="45"/>
      <c r="T42" s="45"/>
      <c r="U42" s="45"/>
      <c r="V42" s="17" t="str">
        <f>IF(AND(YEAR(DecSun1+40)=$A$1,MONTH(DecSun1+40)=12),DecSun1+40, "")</f>
        <v/>
      </c>
      <c r="W42" s="17" t="str">
        <f>IF(AND(YEAR(DecSun1+41)=$A$1,MONTH(DecSun1+41)=12),DecSun1+41, "")</f>
        <v/>
      </c>
    </row>
    <row r="43" spans="1:23" ht="15" customHeight="1" x14ac:dyDescent="0.3">
      <c r="A43" s="40"/>
      <c r="B43" s="40"/>
      <c r="C43" s="40"/>
      <c r="D43" s="40"/>
      <c r="E43" s="40"/>
      <c r="F43" s="40"/>
      <c r="G43" s="40"/>
      <c r="H43" s="19"/>
      <c r="I43" s="43"/>
      <c r="J43" s="43"/>
      <c r="K43" s="43"/>
      <c r="L43" s="43"/>
      <c r="M43" s="43"/>
      <c r="N43" s="43"/>
      <c r="O43" s="43"/>
      <c r="P43" s="19"/>
      <c r="Q43" s="40"/>
      <c r="R43" s="40"/>
      <c r="S43" s="40"/>
      <c r="T43" s="40"/>
      <c r="U43" s="40"/>
      <c r="V43" s="40"/>
      <c r="W43" s="40"/>
    </row>
    <row r="44" spans="1:23" s="7" customFormat="1" ht="7" customHeight="1" x14ac:dyDescent="0.25">
      <c r="A44" s="11"/>
      <c r="H44" s="15"/>
      <c r="I44" s="11"/>
      <c r="P44" s="15"/>
      <c r="Q44" s="11"/>
    </row>
    <row r="45" spans="1:23" ht="9.75" customHeight="1" x14ac:dyDescent="0.3">
      <c r="A45" s="31"/>
    </row>
    <row r="46" spans="1:23" x14ac:dyDescent="0.3">
      <c r="A46" s="20" t="s">
        <v>17</v>
      </c>
    </row>
    <row r="47" spans="1:23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</sheetData>
  <mergeCells count="27">
    <mergeCell ref="A1:D1"/>
    <mergeCell ref="E1:T2"/>
    <mergeCell ref="A3:W3"/>
    <mergeCell ref="A24:G24"/>
    <mergeCell ref="I24:O24"/>
    <mergeCell ref="Q24:W24"/>
    <mergeCell ref="A4:G4"/>
    <mergeCell ref="I4:O4"/>
    <mergeCell ref="Q4:W4"/>
    <mergeCell ref="A14:G14"/>
    <mergeCell ref="I14:O14"/>
    <mergeCell ref="Q14:W14"/>
    <mergeCell ref="A43:G43"/>
    <mergeCell ref="Q43:W43"/>
    <mergeCell ref="I11:O11"/>
    <mergeCell ref="A35:G35"/>
    <mergeCell ref="I35:O35"/>
    <mergeCell ref="Q35:W35"/>
    <mergeCell ref="I43:O43"/>
    <mergeCell ref="U11:W11"/>
    <mergeCell ref="K31:O31"/>
    <mergeCell ref="Q31:U31"/>
    <mergeCell ref="I42:M42"/>
    <mergeCell ref="Q42:U42"/>
    <mergeCell ref="Q22:W22"/>
    <mergeCell ref="Q23:W23"/>
    <mergeCell ref="I34:O34"/>
  </mergeCells>
  <phoneticPr fontId="1" type="noConversion"/>
  <dataValidations count="1">
    <dataValidation type="whole" allowBlank="1" showInputMessage="1" showErrorMessage="1" sqref="A1" xr:uid="{00000000-0002-0000-0000-000000000000}">
      <formula1>1900</formula1>
      <formula2>9999</formula2>
    </dataValidation>
  </dataValidations>
  <printOptions horizontalCentered="1" verticalCentered="1"/>
  <pageMargins left="0.3" right="0.3" top="0.5" bottom="0.5" header="0.25" footer="0.25"/>
  <pageSetup orientation="portrait" r:id="rId1"/>
  <headerFooter alignWithMargins="0">
    <oddFooter>&amp;L&amp;8S:/Region 10 Board/Board/Calendar/2023 Meeting Calendar.xls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>
                  <from>
                    <xdr:col>0</xdr:col>
                    <xdr:colOff>19050</xdr:colOff>
                    <xdr:row>0</xdr:row>
                    <xdr:rowOff>88900</xdr:rowOff>
                  </from>
                  <to>
                    <xdr:col>0</xdr:col>
                    <xdr:colOff>222250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C51E121-EAAA-4177-A3CE-5E771B2D0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2016-10-19T14:10:41Z</dcterms:created>
  <dcterms:modified xsi:type="dcterms:W3CDTF">2024-12-23T17:47:11Z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TC102741249990</vt:lpwstr>
  </property>
</Properties>
</file>